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D193465-9713-4BBE-A653-D2009F9033E3}" xr6:coauthVersionLast="47" xr6:coauthVersionMax="47" xr10:uidLastSave="{00000000-0000-0000-0000-000000000000}"/>
  <bookViews>
    <workbookView xWindow="13770" yWindow="91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I52" i="1" s="1"/>
  <c r="Q52" i="1"/>
  <c r="E53" i="1"/>
  <c r="F53" i="1" s="1"/>
  <c r="G53" i="1" s="1"/>
  <c r="I53" i="1" s="1"/>
  <c r="Q53" i="1"/>
  <c r="E54" i="1"/>
  <c r="F54" i="1"/>
  <c r="G54" i="1" s="1"/>
  <c r="I54" i="1" s="1"/>
  <c r="Q54" i="1"/>
  <c r="E55" i="1"/>
  <c r="F55" i="1" s="1"/>
  <c r="G55" i="1" s="1"/>
  <c r="I55" i="1" s="1"/>
  <c r="Q55" i="1"/>
  <c r="E56" i="1"/>
  <c r="F56" i="1"/>
  <c r="G56" i="1" s="1"/>
  <c r="I56" i="1" s="1"/>
  <c r="Q56" i="1"/>
  <c r="E57" i="1"/>
  <c r="F57" i="1"/>
  <c r="G57" i="1" s="1"/>
  <c r="I57" i="1" s="1"/>
  <c r="Q57" i="1"/>
  <c r="G11" i="2"/>
  <c r="C11" i="2"/>
  <c r="E1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H11" i="2"/>
  <c r="B11" i="2"/>
  <c r="D11" i="2"/>
  <c r="A11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F11" i="1"/>
  <c r="Q51" i="1"/>
  <c r="Q21" i="1"/>
  <c r="Q22" i="1"/>
  <c r="Q43" i="1"/>
  <c r="Q46" i="1"/>
  <c r="Q47" i="1"/>
  <c r="Q48" i="1"/>
  <c r="Q49" i="1"/>
  <c r="Q50" i="1"/>
  <c r="G11" i="1"/>
  <c r="E14" i="1"/>
  <c r="E15" i="1" s="1"/>
  <c r="C17" i="1"/>
  <c r="Q44" i="1"/>
  <c r="Q45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D4" i="1"/>
  <c r="C8" i="1"/>
  <c r="C4" i="1"/>
  <c r="C7" i="1"/>
  <c r="B2" i="1"/>
  <c r="Q25" i="1"/>
  <c r="E49" i="1"/>
  <c r="E20" i="2" s="1"/>
  <c r="E29" i="1"/>
  <c r="F29" i="1" s="1"/>
  <c r="G29" i="1" s="1"/>
  <c r="I29" i="1" s="1"/>
  <c r="E37" i="1"/>
  <c r="F37" i="1" s="1"/>
  <c r="G37" i="1" s="1"/>
  <c r="I37" i="1" s="1"/>
  <c r="E22" i="1"/>
  <c r="F22" i="1"/>
  <c r="G22" i="1"/>
  <c r="I22" i="1" s="1"/>
  <c r="E32" i="1"/>
  <c r="F32" i="1" s="1"/>
  <c r="G32" i="1" s="1"/>
  <c r="I32" i="1" s="1"/>
  <c r="E40" i="1"/>
  <c r="F40" i="1" s="1"/>
  <c r="G40" i="1" s="1"/>
  <c r="I40" i="1" s="1"/>
  <c r="E46" i="1"/>
  <c r="F46" i="1"/>
  <c r="G46" i="1"/>
  <c r="I46" i="1" s="1"/>
  <c r="E24" i="1"/>
  <c r="F24" i="1" s="1"/>
  <c r="G24" i="1" s="1"/>
  <c r="I24" i="1" s="1"/>
  <c r="E47" i="1"/>
  <c r="F47" i="1"/>
  <c r="G47" i="1" s="1"/>
  <c r="I47" i="1" s="1"/>
  <c r="E27" i="1"/>
  <c r="F27" i="1"/>
  <c r="G27" i="1" s="1"/>
  <c r="I27" i="1" s="1"/>
  <c r="E35" i="1"/>
  <c r="F35" i="1"/>
  <c r="G35" i="1" s="1"/>
  <c r="I35" i="1" s="1"/>
  <c r="E44" i="1"/>
  <c r="F44" i="1"/>
  <c r="G44" i="1" s="1"/>
  <c r="I44" i="1" s="1"/>
  <c r="E26" i="1"/>
  <c r="F26" i="1" s="1"/>
  <c r="G26" i="1" s="1"/>
  <c r="I26" i="1" s="1"/>
  <c r="E50" i="1"/>
  <c r="F50" i="1"/>
  <c r="G50" i="1" s="1"/>
  <c r="I50" i="1" s="1"/>
  <c r="E30" i="1"/>
  <c r="F30" i="1" s="1"/>
  <c r="G30" i="1" s="1"/>
  <c r="I30" i="1" s="1"/>
  <c r="E38" i="1"/>
  <c r="F38" i="1"/>
  <c r="G38" i="1" s="1"/>
  <c r="I38" i="1" s="1"/>
  <c r="E28" i="1"/>
  <c r="F28" i="1"/>
  <c r="G28" i="1" s="1"/>
  <c r="I28" i="1" s="1"/>
  <c r="E36" i="1"/>
  <c r="F36" i="1"/>
  <c r="G36" i="1" s="1"/>
  <c r="I36" i="1" s="1"/>
  <c r="E45" i="1"/>
  <c r="F45" i="1" s="1"/>
  <c r="G45" i="1" s="1"/>
  <c r="I45" i="1" s="1"/>
  <c r="E51" i="1"/>
  <c r="F51" i="1"/>
  <c r="G51" i="1" s="1"/>
  <c r="I51" i="1" s="1"/>
  <c r="E43" i="1"/>
  <c r="F43" i="1" s="1"/>
  <c r="G43" i="1" s="1"/>
  <c r="I43" i="1" s="1"/>
  <c r="E25" i="1"/>
  <c r="F25" i="1"/>
  <c r="G25" i="1" s="1"/>
  <c r="H25" i="1" s="1"/>
  <c r="E33" i="1"/>
  <c r="F33" i="1"/>
  <c r="G33" i="1" s="1"/>
  <c r="I33" i="1" s="1"/>
  <c r="E41" i="1"/>
  <c r="F41" i="1" s="1"/>
  <c r="G41" i="1" s="1"/>
  <c r="I41" i="1" s="1"/>
  <c r="E34" i="1"/>
  <c r="F34" i="1"/>
  <c r="G34" i="1" s="1"/>
  <c r="I34" i="1" s="1"/>
  <c r="E21" i="1"/>
  <c r="F21" i="1"/>
  <c r="G21" i="1" s="1"/>
  <c r="I21" i="1" s="1"/>
  <c r="E48" i="1"/>
  <c r="F48" i="1"/>
  <c r="G48" i="1" s="1"/>
  <c r="I48" i="1" s="1"/>
  <c r="E23" i="1"/>
  <c r="F23" i="1"/>
  <c r="G23" i="1" s="1"/>
  <c r="I23" i="1" s="1"/>
  <c r="E31" i="1"/>
  <c r="F31" i="1" s="1"/>
  <c r="G31" i="1" s="1"/>
  <c r="I31" i="1" s="1"/>
  <c r="E39" i="1"/>
  <c r="F39" i="1"/>
  <c r="G39" i="1" s="1"/>
  <c r="I39" i="1" s="1"/>
  <c r="E42" i="1"/>
  <c r="E13" i="2" s="1"/>
  <c r="F42" i="1"/>
  <c r="G42" i="1" s="1"/>
  <c r="I42" i="1" s="1"/>
  <c r="E18" i="2"/>
  <c r="E22" i="2"/>
  <c r="E19" i="2"/>
  <c r="E14" i="2"/>
  <c r="E21" i="2"/>
  <c r="E15" i="2"/>
  <c r="E17" i="2"/>
  <c r="E16" i="2"/>
  <c r="F49" i="1" l="1"/>
  <c r="G49" i="1" s="1"/>
  <c r="E12" i="2"/>
  <c r="C11" i="1"/>
  <c r="C12" i="1"/>
  <c r="C16" i="1" l="1"/>
  <c r="D18" i="1" s="1"/>
  <c r="O29" i="1"/>
  <c r="O21" i="1"/>
  <c r="O32" i="1"/>
  <c r="O46" i="1"/>
  <c r="O47" i="1"/>
  <c r="O30" i="1"/>
  <c r="O35" i="1"/>
  <c r="O48" i="1"/>
  <c r="O49" i="1"/>
  <c r="O55" i="1"/>
  <c r="O54" i="1"/>
  <c r="O36" i="1"/>
  <c r="O33" i="1"/>
  <c r="O51" i="1"/>
  <c r="O24" i="1"/>
  <c r="O53" i="1"/>
  <c r="O25" i="1"/>
  <c r="O45" i="1"/>
  <c r="O43" i="1"/>
  <c r="O34" i="1"/>
  <c r="C15" i="1"/>
  <c r="C18" i="1" s="1"/>
  <c r="O57" i="1"/>
  <c r="O27" i="1"/>
  <c r="O23" i="1"/>
  <c r="O40" i="1"/>
  <c r="O39" i="1"/>
  <c r="O52" i="1"/>
  <c r="O38" i="1"/>
  <c r="O31" i="1"/>
  <c r="O37" i="1"/>
  <c r="O44" i="1"/>
  <c r="O26" i="1"/>
  <c r="O56" i="1"/>
  <c r="O50" i="1"/>
  <c r="O28" i="1"/>
  <c r="O22" i="1"/>
  <c r="O41" i="1"/>
  <c r="O42" i="1"/>
  <c r="I49" i="1"/>
  <c r="E16" i="1" l="1"/>
  <c r="E17" i="1" s="1"/>
</calcChain>
</file>

<file path=xl/sharedStrings.xml><?xml version="1.0" encoding="utf-8"?>
<sst xmlns="http://schemas.openxmlformats.org/spreadsheetml/2006/main" count="234" uniqueCount="128">
  <si>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</si>
  <si>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</si>
  <si>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</si>
  <si>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</si>
  <si>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</si>
  <si>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</si>
  <si>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</si>
  <si>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</si>
  <si>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</si>
  <si>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</si>
  <si>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</si>
  <si>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</si>
  <si>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</si>
  <si>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</si>
  <si>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</si>
  <si>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</si>
  <si>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</si>
  <si>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</si>
  <si>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</si>
  <si>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</si>
  <si>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</si>
  <si>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</si>
  <si>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</si>
  <si>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</si>
  <si>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</si>
  <si>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</si>
  <si>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</si>
  <si>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</si>
  <si>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</si>
  <si>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</si>
  <si>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</si>
  <si>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</si>
  <si>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</si>
  <si>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</si>
  <si>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</si>
  <si>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</si>
  <si>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</si>
  <si>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</si>
  <si>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</si>
  <si>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</si>
  <si>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</si>
  <si>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V1102 Her / GSC 3532-0939               </t>
  </si>
  <si>
    <t xml:space="preserve">EW        </t>
  </si>
  <si>
    <t>IBVS 5781</t>
  </si>
  <si>
    <t>IBVS 5438</t>
  </si>
  <si>
    <t>II</t>
  </si>
  <si>
    <t>IBVS 5543</t>
  </si>
  <si>
    <t>IBVS 5713</t>
  </si>
  <si>
    <t>IBVS 5920</t>
  </si>
  <si>
    <t>IBVS 5945</t>
  </si>
  <si>
    <t>Add cycle</t>
  </si>
  <si>
    <t>Old Cycle</t>
  </si>
  <si>
    <t>IBVS 5333</t>
  </si>
  <si>
    <t>IBVS 5918</t>
  </si>
  <si>
    <t>IBVS 5959</t>
  </si>
  <si>
    <t>IBVS 6010</t>
  </si>
  <si>
    <t>IBVS 6029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</si>
  <si>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</si>
  <si>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</si>
  <si>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</si>
  <si>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</si>
  <si>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</si>
  <si>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</si>
  <si>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</si>
  <si>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</si>
  <si>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</si>
  <si>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</si>
  <si>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</si>
  <si>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</si>
  <si>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2453941.434 </t>
  </si>
  <si>
    <t> 24.07.2006 22:24 </t>
  </si>
  <si>
    <t> 0.006 </t>
  </si>
  <si>
    <t>C </t>
  </si>
  <si>
    <t>R</t>
  </si>
  <si>
    <t> E.Blättler </t>
  </si>
  <si>
    <t>IBVS 5781 </t>
  </si>
  <si>
    <t>2454217.3736 </t>
  </si>
  <si>
    <t> 26.04.2007 20:57 </t>
  </si>
  <si>
    <t> 0.0045 </t>
  </si>
  <si>
    <t>2454971.5024 </t>
  </si>
  <si>
    <t> 20.05.2009 00:03 </t>
  </si>
  <si>
    <t> 0.0066 </t>
  </si>
  <si>
    <t>-I</t>
  </si>
  <si>
    <t> F.Agerer </t>
  </si>
  <si>
    <t>BAVM 209 </t>
  </si>
  <si>
    <t>2455067.4443 </t>
  </si>
  <si>
    <t> 23.08.2009 22:39 </t>
  </si>
  <si>
    <t>8223</t>
  </si>
  <si>
    <t> 0.0025 </t>
  </si>
  <si>
    <t>IBVS 5920 </t>
  </si>
  <si>
    <t>2455327.7830 </t>
  </si>
  <si>
    <t> 11.05.2010 06:47 </t>
  </si>
  <si>
    <t>9065.5</t>
  </si>
  <si>
    <t> R.Diethelm </t>
  </si>
  <si>
    <t>IBVS 5945 </t>
  </si>
  <si>
    <t>2455357.4478 </t>
  </si>
  <si>
    <t> 09.06.2010 22:44 </t>
  </si>
  <si>
    <t>9161.5</t>
  </si>
  <si>
    <t> 0.0048 </t>
  </si>
  <si>
    <t>BAVM 214 </t>
  </si>
  <si>
    <t>2455672.4804 </t>
  </si>
  <si>
    <t> 20.04.2011 23:31 </t>
  </si>
  <si>
    <t>10181</t>
  </si>
  <si>
    <t> 0.0068 </t>
  </si>
  <si>
    <t>BAVM 220 </t>
  </si>
  <si>
    <t>2455682.3687 </t>
  </si>
  <si>
    <t> 30.04.2011 20:50 </t>
  </si>
  <si>
    <t>10213</t>
  </si>
  <si>
    <t> 0.0069 </t>
  </si>
  <si>
    <t>2455682.5242 </t>
  </si>
  <si>
    <t> 01.05.2011 00:34 </t>
  </si>
  <si>
    <t>10213.5</t>
  </si>
  <si>
    <t> 0.0079 </t>
  </si>
  <si>
    <t>2455741.5431 </t>
  </si>
  <si>
    <t> 29.06.2011 01:02 </t>
  </si>
  <si>
    <t>10404.5</t>
  </si>
  <si>
    <t>2456075.8891 </t>
  </si>
  <si>
    <t> 28.05.2012 09:20 </t>
  </si>
  <si>
    <t>11486.5</t>
  </si>
  <si>
    <t> 0.0095 </t>
  </si>
  <si>
    <t>IBVS 6029 </t>
  </si>
  <si>
    <t>2457114.6101 </t>
  </si>
  <si>
    <t> 02.04.2015 02:38 </t>
  </si>
  <si>
    <t>14848</t>
  </si>
  <si>
    <t> 0.0102 </t>
  </si>
  <si>
    <t> W.Moschner &amp; P.Frank </t>
  </si>
  <si>
    <t>BAVM 241 (=IBVS 6157)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</si>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</sst>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6" fontId="19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V1102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0-4ACE-9040-C1C796058B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1.5722500029369257E-3</c:v>
                </c:pt>
                <c:pt idx="1">
                  <c:v>3.3694999947329052E-3</c:v>
                </c:pt>
                <c:pt idx="2">
                  <c:v>-6.2147499993443489E-3</c:v>
                </c:pt>
                <c:pt idx="3">
                  <c:v>-6.2147499993443489E-3</c:v>
                </c:pt>
                <c:pt idx="5">
                  <c:v>-2.3850000434322283E-4</c:v>
                </c:pt>
                <c:pt idx="6">
                  <c:v>-1.5647499967599288E-3</c:v>
                </c:pt>
                <c:pt idx="7">
                  <c:v>-7.6750000152969733E-4</c:v>
                </c:pt>
                <c:pt idx="8">
                  <c:v>-2.8884999992442317E-3</c:v>
                </c:pt>
                <c:pt idx="9">
                  <c:v>-1.7912499970407225E-3</c:v>
                </c:pt>
                <c:pt idx="10">
                  <c:v>2.1804999996675178E-3</c:v>
                </c:pt>
                <c:pt idx="11">
                  <c:v>-8.5525000031339005E-4</c:v>
                </c:pt>
                <c:pt idx="12">
                  <c:v>6.4200000633718446E-4</c:v>
                </c:pt>
                <c:pt idx="13">
                  <c:v>6.3924999994924292E-4</c:v>
                </c:pt>
                <c:pt idx="14">
                  <c:v>-3.6669999972218648E-3</c:v>
                </c:pt>
                <c:pt idx="15">
                  <c:v>7.0140000025276095E-3</c:v>
                </c:pt>
                <c:pt idx="16">
                  <c:v>-1.138749998062849E-3</c:v>
                </c:pt>
                <c:pt idx="17">
                  <c:v>2.3585000017192215E-3</c:v>
                </c:pt>
                <c:pt idx="18">
                  <c:v>3.7517500022659078E-3</c:v>
                </c:pt>
                <c:pt idx="19">
                  <c:v>-1.8374999999650754E-3</c:v>
                </c:pt>
                <c:pt idx="20">
                  <c:v>3.0479999986710027E-3</c:v>
                </c:pt>
                <c:pt idx="21">
                  <c:v>7.3649999831104651E-4</c:v>
                </c:pt>
                <c:pt idx="22">
                  <c:v>1.6137499987962656E-3</c:v>
                </c:pt>
                <c:pt idx="23">
                  <c:v>-2.6939999952446669E-3</c:v>
                </c:pt>
                <c:pt idx="24">
                  <c:v>-1.1277499943389557E-3</c:v>
                </c:pt>
                <c:pt idx="25">
                  <c:v>-8.5574999684467912E-4</c:v>
                </c:pt>
                <c:pt idx="26">
                  <c:v>6.3700000464450568E-4</c:v>
                </c:pt>
                <c:pt idx="27">
                  <c:v>7.6100000296719372E-4</c:v>
                </c:pt>
                <c:pt idx="28">
                  <c:v>1.7582500004209578E-3</c:v>
                </c:pt>
                <c:pt idx="29">
                  <c:v>6.0775000747526065E-4</c:v>
                </c:pt>
                <c:pt idx="30">
                  <c:v>2.6567500026430935E-3</c:v>
                </c:pt>
                <c:pt idx="31">
                  <c:v>1.6685000009601936E-3</c:v>
                </c:pt>
                <c:pt idx="32">
                  <c:v>1.2678500002948567E-2</c:v>
                </c:pt>
                <c:pt idx="33">
                  <c:v>1.6883249998500105E-2</c:v>
                </c:pt>
                <c:pt idx="34">
                  <c:v>1.3380500000494067E-2</c:v>
                </c:pt>
                <c:pt idx="35">
                  <c:v>1.568050000059884E-2</c:v>
                </c:pt>
                <c:pt idx="36">
                  <c:v>1.5840000000025611E-2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0-4ACE-9040-C1C796058B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0-4ACE-9040-C1C796058B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0-4ACE-9040-C1C796058B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D0-4ACE-9040-C1C796058B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D0-4ACE-9040-C1C796058B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D0-4ACE-9040-C1C796058B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-3849.5</c:v>
                </c:pt>
                <c:pt idx="1">
                  <c:v>-3849</c:v>
                </c:pt>
                <c:pt idx="2">
                  <c:v>-15.5</c:v>
                </c:pt>
                <c:pt idx="3">
                  <c:v>-15.5</c:v>
                </c:pt>
                <c:pt idx="4">
                  <c:v>0</c:v>
                </c:pt>
                <c:pt idx="5">
                  <c:v>7</c:v>
                </c:pt>
                <c:pt idx="6">
                  <c:v>84.5</c:v>
                </c:pt>
                <c:pt idx="7">
                  <c:v>85</c:v>
                </c:pt>
                <c:pt idx="8">
                  <c:v>107</c:v>
                </c:pt>
                <c:pt idx="9">
                  <c:v>107.5</c:v>
                </c:pt>
                <c:pt idx="10">
                  <c:v>149</c:v>
                </c:pt>
                <c:pt idx="11">
                  <c:v>155.5</c:v>
                </c:pt>
                <c:pt idx="12">
                  <c:v>156</c:v>
                </c:pt>
                <c:pt idx="13">
                  <c:v>156.5</c:v>
                </c:pt>
                <c:pt idx="14">
                  <c:v>794</c:v>
                </c:pt>
                <c:pt idx="15">
                  <c:v>852</c:v>
                </c:pt>
                <c:pt idx="16">
                  <c:v>1152.5</c:v>
                </c:pt>
                <c:pt idx="17">
                  <c:v>1153</c:v>
                </c:pt>
                <c:pt idx="18">
                  <c:v>2081.5</c:v>
                </c:pt>
                <c:pt idx="19">
                  <c:v>3625</c:v>
                </c:pt>
                <c:pt idx="20">
                  <c:v>4664</c:v>
                </c:pt>
                <c:pt idx="21">
                  <c:v>5557</c:v>
                </c:pt>
                <c:pt idx="22">
                  <c:v>7997.5</c:v>
                </c:pt>
                <c:pt idx="23">
                  <c:v>8308</c:v>
                </c:pt>
                <c:pt idx="24">
                  <c:v>9150.5</c:v>
                </c:pt>
                <c:pt idx="25">
                  <c:v>9246.5</c:v>
                </c:pt>
                <c:pt idx="26">
                  <c:v>10266</c:v>
                </c:pt>
                <c:pt idx="27">
                  <c:v>10298</c:v>
                </c:pt>
                <c:pt idx="28">
                  <c:v>10298.5</c:v>
                </c:pt>
                <c:pt idx="29">
                  <c:v>10489.5</c:v>
                </c:pt>
                <c:pt idx="30">
                  <c:v>11571.5</c:v>
                </c:pt>
                <c:pt idx="31">
                  <c:v>14933</c:v>
                </c:pt>
                <c:pt idx="32">
                  <c:v>19913</c:v>
                </c:pt>
                <c:pt idx="33">
                  <c:v>19948.5</c:v>
                </c:pt>
                <c:pt idx="34">
                  <c:v>19949</c:v>
                </c:pt>
                <c:pt idx="35">
                  <c:v>20949</c:v>
                </c:pt>
                <c:pt idx="36">
                  <c:v>21120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-3.4536563601226607E-3</c:v>
                </c:pt>
                <c:pt idx="1">
                  <c:v>-3.4533710940174707E-3</c:v>
                </c:pt>
                <c:pt idx="2">
                  <c:v>-1.2662358655262918E-3</c:v>
                </c:pt>
                <c:pt idx="3">
                  <c:v>-1.2662358655262918E-3</c:v>
                </c:pt>
                <c:pt idx="4">
                  <c:v>-1.2573926162654041E-3</c:v>
                </c:pt>
                <c:pt idx="5">
                  <c:v>-1.2533988907927451E-3</c:v>
                </c:pt>
                <c:pt idx="6">
                  <c:v>-1.2091826444883063E-3</c:v>
                </c:pt>
                <c:pt idx="7">
                  <c:v>-1.2088973783831163E-3</c:v>
                </c:pt>
                <c:pt idx="8">
                  <c:v>-1.1963456697547596E-3</c:v>
                </c:pt>
                <c:pt idx="9">
                  <c:v>-1.1960604036495696E-3</c:v>
                </c:pt>
                <c:pt idx="10">
                  <c:v>-1.1723833169188056E-3</c:v>
                </c:pt>
                <c:pt idx="11">
                  <c:v>-1.1686748575513366E-3</c:v>
                </c:pt>
                <c:pt idx="12">
                  <c:v>-1.1683895914461465E-3</c:v>
                </c:pt>
                <c:pt idx="13">
                  <c:v>-1.1681043253409565E-3</c:v>
                </c:pt>
                <c:pt idx="14">
                  <c:v>-8.0439004122379834E-4</c:v>
                </c:pt>
                <c:pt idx="15">
                  <c:v>-7.7129917302176665E-4</c:v>
                </c:pt>
                <c:pt idx="16">
                  <c:v>-5.9985424380261984E-4</c:v>
                </c:pt>
                <c:pt idx="17">
                  <c:v>-5.9956897769742994E-4</c:v>
                </c:pt>
                <c:pt idx="18">
                  <c:v>-6.9829820359733471E-5</c:v>
                </c:pt>
                <c:pt idx="19">
                  <c:v>8.1078664636157448E-4</c:v>
                </c:pt>
                <c:pt idx="20">
                  <c:v>1.4035696129462453E-3</c:v>
                </c:pt>
                <c:pt idx="21">
                  <c:v>1.9130548768154566E-3</c:v>
                </c:pt>
                <c:pt idx="22">
                  <c:v>3.3054387362474956E-3</c:v>
                </c:pt>
                <c:pt idx="23">
                  <c:v>3.4825889875704408E-3</c:v>
                </c:pt>
                <c:pt idx="24">
                  <c:v>3.9632623748154707E-3</c:v>
                </c:pt>
                <c:pt idx="25">
                  <c:v>4.0180334670119368E-3</c:v>
                </c:pt>
                <c:pt idx="26">
                  <c:v>4.599691055494199E-3</c:v>
                </c:pt>
                <c:pt idx="27">
                  <c:v>4.6179480862263544E-3</c:v>
                </c:pt>
                <c:pt idx="28">
                  <c:v>4.6182333523315452E-3</c:v>
                </c:pt>
                <c:pt idx="29">
                  <c:v>4.7272050045140974E-3</c:v>
                </c:pt>
                <c:pt idx="30">
                  <c:v>5.3445208561451012E-3</c:v>
                </c:pt>
                <c:pt idx="31">
                  <c:v>7.2623648813369881E-3</c:v>
                </c:pt>
                <c:pt idx="32">
                  <c:v>1.0103615289028672E-2</c:v>
                </c:pt>
                <c:pt idx="33">
                  <c:v>1.0123869182497157E-2</c:v>
                </c:pt>
                <c:pt idx="34">
                  <c:v>1.0124154448602346E-2</c:v>
                </c:pt>
                <c:pt idx="35">
                  <c:v>1.0694686658982202E-2</c:v>
                </c:pt>
                <c:pt idx="36">
                  <c:v>1.0792247666957158E-2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D0-4ACE-9040-C1C79605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4808"/>
        <c:axId val="1"/>
      </c:scatterChart>
      <c:valAx>
        <c:axId val="83790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AD43BA-D2BF-3A2D-DC6C-61BEEC5CC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www.bav-astro.de/sfs/BAVM_link.php?BAVMnr=220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781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945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920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41</v>
      </c>
      <c r="F1" s="3">
        <v>52500.229299999999</v>
      </c>
      <c r="G1" s="3">
        <v>0.30900549999999999</v>
      </c>
      <c r="H1" s="3" t="s">
        <v>42</v>
      </c>
    </row>
    <row r="2" spans="1:8" x14ac:dyDescent="0.2">
      <c r="A2" t="s">
        <v>23</v>
      </c>
      <c r="B2" t="str">
        <f>H1</f>
        <v xml:space="preserve">EW        </v>
      </c>
      <c r="C2" s="3"/>
      <c r="D2" s="3"/>
    </row>
    <row r="3" spans="1:8" ht="13.5" thickBot="1" x14ac:dyDescent="0.25"/>
    <row r="4" spans="1:8" ht="14.25" thickTop="1" thickBot="1" x14ac:dyDescent="0.25">
      <c r="A4" s="5" t="s">
        <v>40</v>
      </c>
      <c r="C4" s="8">
        <f>F1</f>
        <v>52500.229299999999</v>
      </c>
      <c r="D4" s="9">
        <f>G1</f>
        <v>0.30900549999999999</v>
      </c>
    </row>
    <row r="5" spans="1:8" x14ac:dyDescent="0.2">
      <c r="C5" s="30" t="s">
        <v>38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52500.229299999999</v>
      </c>
    </row>
    <row r="8" spans="1:8" x14ac:dyDescent="0.2">
      <c r="A8" t="s">
        <v>2</v>
      </c>
      <c r="C8">
        <f>D4</f>
        <v>0.30900549999999999</v>
      </c>
      <c r="D8" s="29"/>
    </row>
    <row r="9" spans="1:8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14</v>
      </c>
      <c r="B11" s="12"/>
      <c r="C11" s="24">
        <f ca="1">INTERCEPT(INDIRECT($G$11):G992,INDIRECT($F$11):F992)</f>
        <v>-1.2573926162654041E-3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SLOPE(INDIRECT($G$11):G992,INDIRECT($F$11):F992)</f>
        <v>5.705322103798562E-7</v>
      </c>
      <c r="D12" s="3"/>
      <c r="E12" s="12"/>
    </row>
    <row r="13" spans="1:8" x14ac:dyDescent="0.2">
      <c r="A13" s="12" t="s">
        <v>18</v>
      </c>
      <c r="B13" s="12"/>
      <c r="C13" s="3" t="s">
        <v>12</v>
      </c>
      <c r="D13" s="16" t="s">
        <v>50</v>
      </c>
      <c r="E13" s="13">
        <v>1</v>
      </c>
    </row>
    <row r="14" spans="1:8" x14ac:dyDescent="0.2">
      <c r="A14" s="12"/>
      <c r="B14" s="12"/>
      <c r="C14" s="12"/>
      <c r="D14" s="16" t="s">
        <v>32</v>
      </c>
      <c r="E14" s="17">
        <f ca="1">NOW()+15018.5+$C$9/24</f>
        <v>59960.723253587959</v>
      </c>
    </row>
    <row r="15" spans="1:8" x14ac:dyDescent="0.2">
      <c r="A15" s="14" t="s">
        <v>16</v>
      </c>
      <c r="B15" s="12"/>
      <c r="C15" s="15">
        <f ca="1">(C7+C11)+(C8+C12)*INT(MAX(F21:F3533))</f>
        <v>59026.436252247666</v>
      </c>
      <c r="D15" s="16" t="s">
        <v>51</v>
      </c>
      <c r="E15" s="17">
        <f ca="1">ROUND(2*(E14-$C$7)/$C$8,0)/2+E13</f>
        <v>24144.5</v>
      </c>
    </row>
    <row r="16" spans="1:8" x14ac:dyDescent="0.2">
      <c r="A16" s="18" t="s">
        <v>3</v>
      </c>
      <c r="B16" s="12"/>
      <c r="C16" s="19">
        <f ca="1">+C8+C12</f>
        <v>0.30900607053221035</v>
      </c>
      <c r="D16" s="16" t="s">
        <v>33</v>
      </c>
      <c r="E16" s="26">
        <f ca="1">ROUND(2*(E14-$C$15)/$C$16,0)/2+E13</f>
        <v>3024.5</v>
      </c>
    </row>
    <row r="17" spans="1:17" ht="13.5" thickBot="1" x14ac:dyDescent="0.25">
      <c r="A17" s="16" t="s">
        <v>29</v>
      </c>
      <c r="B17" s="12"/>
      <c r="C17" s="12">
        <f>COUNT(C21:C2191)</f>
        <v>37</v>
      </c>
      <c r="D17" s="16" t="s">
        <v>34</v>
      </c>
      <c r="E17" s="20">
        <f ca="1">+$C$15+$C$16*E16-15018.5-$C$9/24</f>
        <v>44942.920945905673</v>
      </c>
    </row>
    <row r="18" spans="1:17" ht="14.25" thickTop="1" thickBot="1" x14ac:dyDescent="0.25">
      <c r="A18" s="18" t="s">
        <v>4</v>
      </c>
      <c r="B18" s="12"/>
      <c r="C18" s="21">
        <f ca="1">+C15</f>
        <v>59026.436252247666</v>
      </c>
      <c r="D18" s="22">
        <f ca="1">+C16</f>
        <v>0.30900607053221035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39</v>
      </c>
      <c r="I20" s="7" t="s">
        <v>28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s="34" t="s">
        <v>52</v>
      </c>
      <c r="B21" s="33" t="s">
        <v>45</v>
      </c>
      <c r="C21" s="34">
        <v>51310.714200000002</v>
      </c>
      <c r="D21" s="34">
        <v>8.9999999999999998E-4</v>
      </c>
      <c r="E21">
        <f>+(C21-C$7)/C$8</f>
        <v>-3849.4949119028524</v>
      </c>
      <c r="F21">
        <f>ROUND(2*E21,0)/2</f>
        <v>-3849.5</v>
      </c>
      <c r="G21">
        <f>+C21-(C$7+F21*C$8)</f>
        <v>1.5722500029369257E-3</v>
      </c>
      <c r="I21">
        <f>+G21</f>
        <v>1.5722500029369257E-3</v>
      </c>
      <c r="O21">
        <f ca="1">+C$11+C$12*$F21</f>
        <v>-3.4536563601226607E-3</v>
      </c>
      <c r="Q21" s="2">
        <f>+C21-15018.5</f>
        <v>36292.214200000002</v>
      </c>
    </row>
    <row r="22" spans="1:17" x14ac:dyDescent="0.2">
      <c r="A22" s="34" t="s">
        <v>52</v>
      </c>
      <c r="B22" s="33" t="s">
        <v>37</v>
      </c>
      <c r="C22" s="34">
        <v>51310.870499999997</v>
      </c>
      <c r="D22" s="34">
        <v>1.1999999999999999E-3</v>
      </c>
      <c r="E22">
        <f>+(C22-C$7)/C$8</f>
        <v>-3848.9890956633517</v>
      </c>
      <c r="F22">
        <f>ROUND(2*E22,0)/2</f>
        <v>-3849</v>
      </c>
      <c r="G22">
        <f>+C22-(C$7+F22*C$8)</f>
        <v>3.3694999947329052E-3</v>
      </c>
      <c r="I22">
        <f>+G22</f>
        <v>3.3694999947329052E-3</v>
      </c>
      <c r="O22">
        <f ca="1">+C$11+C$12*$F22</f>
        <v>-3.4533710940174707E-3</v>
      </c>
      <c r="Q22" s="2">
        <f>+C22-15018.5</f>
        <v>36292.370499999997</v>
      </c>
    </row>
    <row r="23" spans="1:17" x14ac:dyDescent="0.2">
      <c r="A23" s="32" t="s">
        <v>44</v>
      </c>
      <c r="B23" s="31" t="s">
        <v>45</v>
      </c>
      <c r="C23" s="32">
        <v>52495.433499999999</v>
      </c>
      <c r="D23" s="32">
        <v>2.0999999999999999E-3</v>
      </c>
      <c r="E23">
        <f>+(C23-C$7)/C$8</f>
        <v>-15.520112101564122</v>
      </c>
      <c r="F23">
        <f>ROUND(2*E23,0)/2</f>
        <v>-15.5</v>
      </c>
      <c r="G23">
        <f>+C23-(C$7+F23*C$8)</f>
        <v>-6.2147499993443489E-3</v>
      </c>
      <c r="I23">
        <f>+G23</f>
        <v>-6.2147499993443489E-3</v>
      </c>
      <c r="O23">
        <f ca="1">+C$11+C$12*$F23</f>
        <v>-1.2662358655262918E-3</v>
      </c>
      <c r="Q23" s="2">
        <f>+C23-15018.5</f>
        <v>37476.933499999999</v>
      </c>
    </row>
    <row r="24" spans="1:17" x14ac:dyDescent="0.2">
      <c r="A24" s="32" t="s">
        <v>44</v>
      </c>
      <c r="B24" s="31" t="s">
        <v>45</v>
      </c>
      <c r="C24" s="32">
        <v>52495.433499999999</v>
      </c>
      <c r="D24" s="32">
        <v>2.0999999999999999E-3</v>
      </c>
      <c r="E24">
        <f>+(C24-C$7)/C$8</f>
        <v>-15.520112101564122</v>
      </c>
      <c r="F24">
        <f>ROUND(2*E24,0)/2</f>
        <v>-15.5</v>
      </c>
      <c r="G24">
        <f>+C24-(C$7+F24*C$8)</f>
        <v>-6.2147499993443489E-3</v>
      </c>
      <c r="I24">
        <f>+G24</f>
        <v>-6.2147499993443489E-3</v>
      </c>
      <c r="O24">
        <f ca="1">+C$11+C$12*$F24</f>
        <v>-1.2662358655262918E-3</v>
      </c>
      <c r="Q24" s="2">
        <f>+C24-15018.5</f>
        <v>37476.933499999999</v>
      </c>
    </row>
    <row r="25" spans="1:17" x14ac:dyDescent="0.2">
      <c r="A25" s="32" t="s">
        <v>39</v>
      </c>
      <c r="B25" s="31" t="s">
        <v>37</v>
      </c>
      <c r="C25" s="32">
        <v>52500.229299999999</v>
      </c>
      <c r="D25" s="32"/>
      <c r="E25">
        <f>+(C25-C$7)/C$8</f>
        <v>0</v>
      </c>
      <c r="F25">
        <f>ROUND(2*E25,0)/2</f>
        <v>0</v>
      </c>
      <c r="G25">
        <f>+C25-(C$7+F25*C$8)</f>
        <v>0</v>
      </c>
      <c r="H25">
        <f>+G25</f>
        <v>0</v>
      </c>
      <c r="O25">
        <f ca="1">+C$11+C$12*$F25</f>
        <v>-1.2573926162654041E-3</v>
      </c>
      <c r="Q25" s="2">
        <f>+C25-15018.5</f>
        <v>37481.729299999999</v>
      </c>
    </row>
    <row r="26" spans="1:17" x14ac:dyDescent="0.2">
      <c r="A26" s="32" t="s">
        <v>44</v>
      </c>
      <c r="B26" s="31" t="s">
        <v>37</v>
      </c>
      <c r="C26" s="32">
        <v>52502.392099999997</v>
      </c>
      <c r="D26" s="32">
        <v>1.1000000000000001E-3</v>
      </c>
      <c r="E26">
        <f>+(C26-C$7)/C$8</f>
        <v>6.9992281690722082</v>
      </c>
      <c r="F26">
        <f>ROUND(2*E26,0)/2</f>
        <v>7</v>
      </c>
      <c r="G26">
        <f>+C26-(C$7+F26*C$8)</f>
        <v>-2.3850000434322283E-4</v>
      </c>
      <c r="I26">
        <f>+G26</f>
        <v>-2.3850000434322283E-4</v>
      </c>
      <c r="O26">
        <f ca="1">+C$11+C$12*$F26</f>
        <v>-1.2533988907927451E-3</v>
      </c>
      <c r="Q26" s="2">
        <f>+C26-15018.5</f>
        <v>37483.892099999997</v>
      </c>
    </row>
    <row r="27" spans="1:17" x14ac:dyDescent="0.2">
      <c r="A27" s="32" t="s">
        <v>44</v>
      </c>
      <c r="B27" s="31" t="s">
        <v>45</v>
      </c>
      <c r="C27" s="32">
        <v>52526.3387</v>
      </c>
      <c r="D27" s="32">
        <v>1E-3</v>
      </c>
      <c r="E27">
        <f>+(C27-C$7)/C$8</f>
        <v>84.494936174279061</v>
      </c>
      <c r="F27">
        <f>ROUND(2*E27,0)/2</f>
        <v>84.5</v>
      </c>
      <c r="G27">
        <f>+C27-(C$7+F27*C$8)</f>
        <v>-1.5647499967599288E-3</v>
      </c>
      <c r="I27">
        <f>+G27</f>
        <v>-1.5647499967599288E-3</v>
      </c>
      <c r="O27">
        <f ca="1">+C$11+C$12*$F27</f>
        <v>-1.2091826444883063E-3</v>
      </c>
      <c r="Q27" s="2">
        <f>+C27-15018.5</f>
        <v>37507.8387</v>
      </c>
    </row>
    <row r="28" spans="1:17" x14ac:dyDescent="0.2">
      <c r="A28" s="32" t="s">
        <v>44</v>
      </c>
      <c r="B28" s="31" t="s">
        <v>37</v>
      </c>
      <c r="C28" s="32">
        <v>52526.493999999999</v>
      </c>
      <c r="D28" s="32">
        <v>6.9999999999999999E-4</v>
      </c>
      <c r="E28">
        <f>+(C28-C$7)/C$8</f>
        <v>84.997516225438446</v>
      </c>
      <c r="F28">
        <f>ROUND(2*E28,0)/2</f>
        <v>85</v>
      </c>
      <c r="G28">
        <f>+C28-(C$7+F28*C$8)</f>
        <v>-7.6750000152969733E-4</v>
      </c>
      <c r="I28">
        <f>+G28</f>
        <v>-7.6750000152969733E-4</v>
      </c>
      <c r="O28">
        <f ca="1">+C$11+C$12*$F28</f>
        <v>-1.2088973783831163E-3</v>
      </c>
      <c r="Q28" s="2">
        <f>+C28-15018.5</f>
        <v>37507.993999999999</v>
      </c>
    </row>
    <row r="29" spans="1:17" x14ac:dyDescent="0.2">
      <c r="A29" s="32" t="s">
        <v>44</v>
      </c>
      <c r="B29" s="31" t="s">
        <v>37</v>
      </c>
      <c r="C29" s="32">
        <v>52533.29</v>
      </c>
      <c r="D29" s="32">
        <v>1.2999999999999999E-3</v>
      </c>
      <c r="E29">
        <f>+(C29-C$7)/C$8</f>
        <v>106.99065226994929</v>
      </c>
      <c r="F29">
        <f>ROUND(2*E29,0)/2</f>
        <v>107</v>
      </c>
      <c r="G29">
        <f>+C29-(C$7+F29*C$8)</f>
        <v>-2.8884999992442317E-3</v>
      </c>
      <c r="I29">
        <f>+G29</f>
        <v>-2.8884999992442317E-3</v>
      </c>
      <c r="O29">
        <f ca="1">+C$11+C$12*$F29</f>
        <v>-1.1963456697547596E-3</v>
      </c>
      <c r="Q29" s="2">
        <f>+C29-15018.5</f>
        <v>37514.79</v>
      </c>
    </row>
    <row r="30" spans="1:17" x14ac:dyDescent="0.2">
      <c r="A30" s="32" t="s">
        <v>44</v>
      </c>
      <c r="B30" s="31" t="s">
        <v>45</v>
      </c>
      <c r="C30" s="32">
        <v>52533.445599999999</v>
      </c>
      <c r="D30" s="32">
        <v>1.2999999999999999E-3</v>
      </c>
      <c r="E30">
        <f>+(C30-C$7)/C$8</f>
        <v>107.4942031776135</v>
      </c>
      <c r="F30">
        <f>ROUND(2*E30,0)/2</f>
        <v>107.5</v>
      </c>
      <c r="G30">
        <f>+C30-(C$7+F30*C$8)</f>
        <v>-1.7912499970407225E-3</v>
      </c>
      <c r="I30">
        <f>+G30</f>
        <v>-1.7912499970407225E-3</v>
      </c>
      <c r="O30">
        <f ca="1">+C$11+C$12*$F30</f>
        <v>-1.1960604036495696E-3</v>
      </c>
      <c r="Q30" s="2">
        <f>+C30-15018.5</f>
        <v>37514.945599999999</v>
      </c>
    </row>
    <row r="31" spans="1:17" x14ac:dyDescent="0.2">
      <c r="A31" s="32" t="s">
        <v>44</v>
      </c>
      <c r="B31" s="31" t="s">
        <v>37</v>
      </c>
      <c r="C31" s="32">
        <v>52546.273300000001</v>
      </c>
      <c r="D31" s="32">
        <v>2E-3</v>
      </c>
      <c r="E31">
        <f>+(C31-C$7)/C$8</f>
        <v>149.00705650870839</v>
      </c>
      <c r="F31">
        <f>ROUND(2*E31,0)/2</f>
        <v>149</v>
      </c>
      <c r="G31">
        <f>+C31-(C$7+F31*C$8)</f>
        <v>2.1804999996675178E-3</v>
      </c>
      <c r="I31">
        <f>+G31</f>
        <v>2.1804999996675178E-3</v>
      </c>
      <c r="O31">
        <f ca="1">+C$11+C$12*$F31</f>
        <v>-1.1723833169188056E-3</v>
      </c>
      <c r="Q31" s="2">
        <f>+C31-15018.5</f>
        <v>37527.773300000001</v>
      </c>
    </row>
    <row r="32" spans="1:17" x14ac:dyDescent="0.2">
      <c r="A32" s="32" t="s">
        <v>44</v>
      </c>
      <c r="B32" s="31" t="s">
        <v>45</v>
      </c>
      <c r="C32" s="32">
        <v>52548.2788</v>
      </c>
      <c r="D32" s="32">
        <v>1.2999999999999999E-3</v>
      </c>
      <c r="E32">
        <f>+(C32-C$7)/C$8</f>
        <v>155.49723224991462</v>
      </c>
      <c r="F32">
        <f>ROUND(2*E32,0)/2</f>
        <v>155.5</v>
      </c>
      <c r="G32">
        <f>+C32-(C$7+F32*C$8)</f>
        <v>-8.5525000031339005E-4</v>
      </c>
      <c r="I32">
        <f>+G32</f>
        <v>-8.5525000031339005E-4</v>
      </c>
      <c r="O32">
        <f ca="1">+C$11+C$12*$F32</f>
        <v>-1.1686748575513366E-3</v>
      </c>
      <c r="Q32" s="2">
        <f>+C32-15018.5</f>
        <v>37529.7788</v>
      </c>
    </row>
    <row r="33" spans="1:17" x14ac:dyDescent="0.2">
      <c r="A33" s="32" t="s">
        <v>44</v>
      </c>
      <c r="B33" s="31" t="s">
        <v>37</v>
      </c>
      <c r="C33" s="32">
        <v>52548.434800000003</v>
      </c>
      <c r="D33" s="32">
        <v>8.0000000000000004E-4</v>
      </c>
      <c r="E33">
        <f>+(C33-C$7)/C$8</f>
        <v>156.00207763293426</v>
      </c>
      <c r="F33">
        <f>ROUND(2*E33,0)/2</f>
        <v>156</v>
      </c>
      <c r="G33">
        <f>+C33-(C$7+F33*C$8)</f>
        <v>6.4200000633718446E-4</v>
      </c>
      <c r="I33">
        <f>+G33</f>
        <v>6.4200000633718446E-4</v>
      </c>
      <c r="O33">
        <f ca="1">+C$11+C$12*$F33</f>
        <v>-1.1683895914461465E-3</v>
      </c>
      <c r="Q33" s="2">
        <f>+C33-15018.5</f>
        <v>37529.934800000003</v>
      </c>
    </row>
    <row r="34" spans="1:17" x14ac:dyDescent="0.2">
      <c r="A34" s="32" t="s">
        <v>44</v>
      </c>
      <c r="B34" s="31" t="s">
        <v>45</v>
      </c>
      <c r="C34" s="32">
        <v>52548.5893</v>
      </c>
      <c r="D34" s="32">
        <v>8.9999999999999998E-4</v>
      </c>
      <c r="E34">
        <f>+(C34-C$7)/C$8</f>
        <v>156.5020687334063</v>
      </c>
      <c r="F34">
        <f>ROUND(2*E34,0)/2</f>
        <v>156.5</v>
      </c>
      <c r="G34">
        <f>+C34-(C$7+F34*C$8)</f>
        <v>6.3924999994924292E-4</v>
      </c>
      <c r="I34">
        <f>+G34</f>
        <v>6.3924999994924292E-4</v>
      </c>
      <c r="O34">
        <f ca="1">+C$11+C$12*$F34</f>
        <v>-1.1681043253409565E-3</v>
      </c>
      <c r="Q34" s="2">
        <f>+C34-15018.5</f>
        <v>37530.0893</v>
      </c>
    </row>
    <row r="35" spans="1:17" x14ac:dyDescent="0.2">
      <c r="A35" s="32" t="s">
        <v>44</v>
      </c>
      <c r="B35" s="31" t="s">
        <v>37</v>
      </c>
      <c r="C35" s="32">
        <v>52745.576000000001</v>
      </c>
      <c r="D35" s="32">
        <v>2E-3</v>
      </c>
      <c r="E35">
        <f>+(C35-C$7)/C$8</f>
        <v>793.98813289731697</v>
      </c>
      <c r="F35">
        <f>ROUND(2*E35,0)/2</f>
        <v>794</v>
      </c>
      <c r="G35">
        <f>+C35-(C$7+F35*C$8)</f>
        <v>-3.6669999972218648E-3</v>
      </c>
      <c r="I35">
        <f>+G35</f>
        <v>-3.6669999972218648E-3</v>
      </c>
      <c r="O35">
        <f ca="1">+C$11+C$12*$F35</f>
        <v>-8.0439004122379834E-4</v>
      </c>
      <c r="Q35" s="2">
        <f>+C35-15018.5</f>
        <v>37727.076000000001</v>
      </c>
    </row>
    <row r="36" spans="1:17" x14ac:dyDescent="0.2">
      <c r="A36" s="32" t="s">
        <v>44</v>
      </c>
      <c r="B36" s="31" t="s">
        <v>37</v>
      </c>
      <c r="C36" s="32">
        <v>52763.508999999998</v>
      </c>
      <c r="D36" s="32">
        <v>6.0000000000000001E-3</v>
      </c>
      <c r="E36">
        <f>+(C36-C$7)/C$8</f>
        <v>852.02269862510263</v>
      </c>
      <c r="F36">
        <f>ROUND(2*E36,0)/2</f>
        <v>852</v>
      </c>
      <c r="G36">
        <f>+C36-(C$7+F36*C$8)</f>
        <v>7.0140000025276095E-3</v>
      </c>
      <c r="I36">
        <f>+G36</f>
        <v>7.0140000025276095E-3</v>
      </c>
      <c r="O36">
        <f ca="1">+C$11+C$12*$F36</f>
        <v>-7.7129917302176665E-4</v>
      </c>
      <c r="Q36" s="2">
        <f>+C36-15018.5</f>
        <v>37745.008999999998</v>
      </c>
    </row>
    <row r="37" spans="1:17" x14ac:dyDescent="0.2">
      <c r="A37" s="34" t="s">
        <v>46</v>
      </c>
      <c r="B37" s="33" t="s">
        <v>45</v>
      </c>
      <c r="C37" s="34">
        <v>52856.357000000004</v>
      </c>
      <c r="D37" s="35">
        <v>8.0000000000000002E-3</v>
      </c>
      <c r="E37">
        <f>+(C37-C$7)/C$8</f>
        <v>1152.4963147905282</v>
      </c>
      <c r="F37">
        <f>ROUND(2*E37,0)/2</f>
        <v>1152.5</v>
      </c>
      <c r="G37">
        <f>+C37-(C$7+F37*C$8)</f>
        <v>-1.138749998062849E-3</v>
      </c>
      <c r="I37">
        <f>+G37</f>
        <v>-1.138749998062849E-3</v>
      </c>
      <c r="O37">
        <f ca="1">+C$11+C$12*$F37</f>
        <v>-5.9985424380261984E-4</v>
      </c>
      <c r="Q37" s="2">
        <f>+C37-15018.5</f>
        <v>37837.857000000004</v>
      </c>
    </row>
    <row r="38" spans="1:17" x14ac:dyDescent="0.2">
      <c r="A38" s="34" t="s">
        <v>46</v>
      </c>
      <c r="B38" s="33" t="s">
        <v>37</v>
      </c>
      <c r="C38" s="34">
        <v>52856.514999999999</v>
      </c>
      <c r="D38" s="35">
        <v>8.9999999999999993E-3</v>
      </c>
      <c r="E38">
        <f>+(C38-C$7)/C$8</f>
        <v>1153.0076325502309</v>
      </c>
      <c r="F38">
        <f>ROUND(2*E38,0)/2</f>
        <v>1153</v>
      </c>
      <c r="G38">
        <f>+C38-(C$7+F38*C$8)</f>
        <v>2.3585000017192215E-3</v>
      </c>
      <c r="I38">
        <f>+G38</f>
        <v>2.3585000017192215E-3</v>
      </c>
      <c r="O38">
        <f ca="1">+C$11+C$12*$F38</f>
        <v>-5.9956897769742994E-4</v>
      </c>
      <c r="Q38" s="2">
        <f>+C38-15018.5</f>
        <v>37838.014999999999</v>
      </c>
    </row>
    <row r="39" spans="1:17" x14ac:dyDescent="0.2">
      <c r="A39" s="34" t="s">
        <v>46</v>
      </c>
      <c r="B39" s="33" t="s">
        <v>45</v>
      </c>
      <c r="C39" s="34">
        <v>53143.428</v>
      </c>
      <c r="D39" s="35">
        <v>2.3E-3</v>
      </c>
      <c r="E39">
        <f>+(C39-C$7)/C$8</f>
        <v>2081.5121413696547</v>
      </c>
      <c r="F39">
        <f>ROUND(2*E39,0)/2</f>
        <v>2081.5</v>
      </c>
      <c r="G39">
        <f>+C39-(C$7+F39*C$8)</f>
        <v>3.7517500022659078E-3</v>
      </c>
      <c r="I39">
        <f>+G39</f>
        <v>3.7517500022659078E-3</v>
      </c>
      <c r="O39">
        <f ca="1">+C$11+C$12*$F39</f>
        <v>-6.9829820359733471E-5</v>
      </c>
      <c r="Q39" s="2">
        <f>+C39-15018.5</f>
        <v>38124.928</v>
      </c>
    </row>
    <row r="40" spans="1:17" x14ac:dyDescent="0.2">
      <c r="A40" s="32" t="s">
        <v>47</v>
      </c>
      <c r="B40" s="31" t="s">
        <v>37</v>
      </c>
      <c r="C40" s="32">
        <v>53620.3724</v>
      </c>
      <c r="D40" s="32">
        <v>1.4E-3</v>
      </c>
      <c r="E40">
        <f>+(C40-C$7)/C$8</f>
        <v>3624.9940535039059</v>
      </c>
      <c r="F40">
        <f>ROUND(2*E40,0)/2</f>
        <v>3625</v>
      </c>
      <c r="G40">
        <f>+C40-(C$7+F40*C$8)</f>
        <v>-1.8374999999650754E-3</v>
      </c>
      <c r="I40">
        <f>+G40</f>
        <v>-1.8374999999650754E-3</v>
      </c>
      <c r="O40">
        <f ca="1">+C$11+C$12*$F40</f>
        <v>8.1078664636157448E-4</v>
      </c>
      <c r="Q40" s="2">
        <f>+C40-15018.5</f>
        <v>38601.8724</v>
      </c>
    </row>
    <row r="41" spans="1:17" x14ac:dyDescent="0.2">
      <c r="A41" s="34" t="s">
        <v>43</v>
      </c>
      <c r="B41" s="31" t="s">
        <v>37</v>
      </c>
      <c r="C41" s="32">
        <v>53941.434000000001</v>
      </c>
      <c r="D41" s="32">
        <v>2E-3</v>
      </c>
      <c r="E41">
        <f>+(C41-C$7)/C$8</f>
        <v>4664.0098639021053</v>
      </c>
      <c r="F41">
        <f>ROUND(2*E41,0)/2</f>
        <v>4664</v>
      </c>
      <c r="G41">
        <f>+C41-(C$7+F41*C$8)</f>
        <v>3.0479999986710027E-3</v>
      </c>
      <c r="I41">
        <f>+G41</f>
        <v>3.0479999986710027E-3</v>
      </c>
      <c r="O41">
        <f ca="1">+C$11+C$12*$F41</f>
        <v>1.4035696129462453E-3</v>
      </c>
      <c r="Q41" s="2">
        <f>+C41-15018.5</f>
        <v>38922.934000000001</v>
      </c>
    </row>
    <row r="42" spans="1:17" x14ac:dyDescent="0.2">
      <c r="A42" s="34" t="s">
        <v>43</v>
      </c>
      <c r="B42" s="31" t="s">
        <v>37</v>
      </c>
      <c r="C42" s="32">
        <v>54217.373599999999</v>
      </c>
      <c r="D42" s="32">
        <v>8.0000000000000004E-4</v>
      </c>
      <c r="E42">
        <f>+(C42-C$7)/C$8</f>
        <v>5557.0023834527219</v>
      </c>
      <c r="F42">
        <f>ROUND(2*E42,0)/2</f>
        <v>5557</v>
      </c>
      <c r="G42">
        <f>+C42-(C$7+F42*C$8)</f>
        <v>7.3649999831104651E-4</v>
      </c>
      <c r="I42">
        <f>+G42</f>
        <v>7.3649999831104651E-4</v>
      </c>
      <c r="O42">
        <f ca="1">+C$11+C$12*$F42</f>
        <v>1.9130548768154566E-3</v>
      </c>
      <c r="Q42" s="2">
        <f>+C42-15018.5</f>
        <v>39198.873599999999</v>
      </c>
    </row>
    <row r="43" spans="1:17" x14ac:dyDescent="0.2">
      <c r="A43" s="34" t="s">
        <v>53</v>
      </c>
      <c r="B43" s="33" t="s">
        <v>45</v>
      </c>
      <c r="C43" s="34">
        <v>54971.502399999998</v>
      </c>
      <c r="D43" s="34">
        <v>6.9999999999999999E-4</v>
      </c>
      <c r="E43">
        <f>+(C43-C$7)/C$8</f>
        <v>7997.5052223989496</v>
      </c>
      <c r="F43">
        <f>ROUND(2*E43,0)/2</f>
        <v>7997.5</v>
      </c>
      <c r="G43">
        <f>+C43-(C$7+F43*C$8)</f>
        <v>1.6137499987962656E-3</v>
      </c>
      <c r="I43">
        <f>+G43</f>
        <v>1.6137499987962656E-3</v>
      </c>
      <c r="O43">
        <f ca="1">+C$11+C$12*$F43</f>
        <v>3.3054387362474956E-3</v>
      </c>
      <c r="Q43" s="2">
        <f>+C43-15018.5</f>
        <v>39953.002399999998</v>
      </c>
    </row>
    <row r="44" spans="1:17" x14ac:dyDescent="0.2">
      <c r="A44" s="34" t="s">
        <v>48</v>
      </c>
      <c r="B44" s="33" t="s">
        <v>37</v>
      </c>
      <c r="C44" s="34">
        <v>55067.444300000003</v>
      </c>
      <c r="D44" s="34">
        <v>1.1999999999999999E-3</v>
      </c>
      <c r="E44">
        <f>+(C44-C$7)/C$8</f>
        <v>8307.9912817085897</v>
      </c>
      <c r="F44">
        <f>ROUND(2*E44,0)/2</f>
        <v>8308</v>
      </c>
      <c r="G44">
        <f>+C44-(C$7+F44*C$8)</f>
        <v>-2.6939999952446669E-3</v>
      </c>
      <c r="I44">
        <f>+G44</f>
        <v>-2.6939999952446669E-3</v>
      </c>
      <c r="O44">
        <f ca="1">+C$11+C$12*$F44</f>
        <v>3.4825889875704408E-3</v>
      </c>
      <c r="Q44" s="2">
        <f>+C44-15018.5</f>
        <v>40048.944300000003</v>
      </c>
    </row>
    <row r="45" spans="1:17" x14ac:dyDescent="0.2">
      <c r="A45" s="34" t="s">
        <v>49</v>
      </c>
      <c r="B45" s="33" t="s">
        <v>45</v>
      </c>
      <c r="C45" s="34">
        <v>55327.783000000003</v>
      </c>
      <c r="D45" s="34">
        <v>2.9999999999999997E-4</v>
      </c>
      <c r="E45">
        <f>+(C45-C$7)/C$8</f>
        <v>9150.4963503885992</v>
      </c>
      <c r="F45">
        <f>ROUND(2*E45,0)/2</f>
        <v>9150.5</v>
      </c>
      <c r="G45">
        <f>+C45-(C$7+F45*C$8)</f>
        <v>-1.1277499943389557E-3</v>
      </c>
      <c r="I45">
        <f>+G45</f>
        <v>-1.1277499943389557E-3</v>
      </c>
      <c r="O45">
        <f ca="1">+C$11+C$12*$F45</f>
        <v>3.9632623748154707E-3</v>
      </c>
      <c r="Q45" s="2">
        <f>+C45-15018.5</f>
        <v>40309.283000000003</v>
      </c>
    </row>
    <row r="46" spans="1:17" x14ac:dyDescent="0.2">
      <c r="A46" s="34" t="s">
        <v>54</v>
      </c>
      <c r="B46" s="33" t="s">
        <v>45</v>
      </c>
      <c r="C46" s="34">
        <v>55357.447800000002</v>
      </c>
      <c r="D46" s="34">
        <v>2.8E-3</v>
      </c>
      <c r="E46">
        <f>+(C46-C$7)/C$8</f>
        <v>9246.4972306318268</v>
      </c>
      <c r="F46">
        <f>ROUND(2*E46,0)/2</f>
        <v>9246.5</v>
      </c>
      <c r="G46">
        <f>+C46-(C$7+F46*C$8)</f>
        <v>-8.5574999684467912E-4</v>
      </c>
      <c r="I46">
        <f>+G46</f>
        <v>-8.5574999684467912E-4</v>
      </c>
      <c r="O46">
        <f ca="1">+C$11+C$12*$F46</f>
        <v>4.0180334670119368E-3</v>
      </c>
      <c r="Q46" s="2">
        <f>+C46-15018.5</f>
        <v>40338.947800000002</v>
      </c>
    </row>
    <row r="47" spans="1:17" x14ac:dyDescent="0.2">
      <c r="A47" s="34" t="s">
        <v>55</v>
      </c>
      <c r="B47" s="33" t="s">
        <v>37</v>
      </c>
      <c r="C47" s="34">
        <v>55672.4804</v>
      </c>
      <c r="D47" s="34">
        <v>2.9999999999999997E-4</v>
      </c>
      <c r="E47">
        <f>+(C47-C$7)/C$8</f>
        <v>10266.002061451985</v>
      </c>
      <c r="F47">
        <f>ROUND(2*E47,0)/2</f>
        <v>10266</v>
      </c>
      <c r="G47">
        <f>+C47-(C$7+F47*C$8)</f>
        <v>6.3700000464450568E-4</v>
      </c>
      <c r="I47">
        <f>+G47</f>
        <v>6.3700000464450568E-4</v>
      </c>
      <c r="O47">
        <f ca="1">+C$11+C$12*$F47</f>
        <v>4.599691055494199E-3</v>
      </c>
      <c r="Q47" s="2">
        <f>+C47-15018.5</f>
        <v>40653.9804</v>
      </c>
    </row>
    <row r="48" spans="1:17" x14ac:dyDescent="0.2">
      <c r="A48" s="34" t="s">
        <v>55</v>
      </c>
      <c r="B48" s="33" t="s">
        <v>37</v>
      </c>
      <c r="C48" s="34">
        <v>55682.368699999999</v>
      </c>
      <c r="D48" s="34">
        <v>1.6000000000000001E-3</v>
      </c>
      <c r="E48">
        <f>+(C48-C$7)/C$8</f>
        <v>10298.002462739338</v>
      </c>
      <c r="F48">
        <f>ROUND(2*E48,0)/2</f>
        <v>10298</v>
      </c>
      <c r="G48">
        <f>+C48-(C$7+F48*C$8)</f>
        <v>7.6100000296719372E-4</v>
      </c>
      <c r="I48">
        <f>+G48</f>
        <v>7.6100000296719372E-4</v>
      </c>
      <c r="O48">
        <f ca="1">+C$11+C$12*$F48</f>
        <v>4.6179480862263544E-3</v>
      </c>
      <c r="Q48" s="2">
        <f>+C48-15018.5</f>
        <v>40663.868699999999</v>
      </c>
    </row>
    <row r="49" spans="1:17" x14ac:dyDescent="0.2">
      <c r="A49" s="34" t="s">
        <v>55</v>
      </c>
      <c r="B49" s="33" t="s">
        <v>45</v>
      </c>
      <c r="C49" s="34">
        <v>55682.5242</v>
      </c>
      <c r="D49" s="34">
        <v>1.1000000000000001E-3</v>
      </c>
      <c r="E49">
        <f>+(C49-C$7)/C$8</f>
        <v>10298.505690028174</v>
      </c>
      <c r="F49">
        <f>ROUND(2*E49,0)/2</f>
        <v>10298.5</v>
      </c>
      <c r="G49">
        <f>+C49-(C$7+F49*C$8)</f>
        <v>1.7582500004209578E-3</v>
      </c>
      <c r="I49">
        <f>+G49</f>
        <v>1.7582500004209578E-3</v>
      </c>
      <c r="O49">
        <f ca="1">+C$11+C$12*$F49</f>
        <v>4.6182333523315452E-3</v>
      </c>
      <c r="Q49" s="2">
        <f>+C49-15018.5</f>
        <v>40664.0242</v>
      </c>
    </row>
    <row r="50" spans="1:17" x14ac:dyDescent="0.2">
      <c r="A50" s="34" t="s">
        <v>55</v>
      </c>
      <c r="B50" s="33" t="s">
        <v>45</v>
      </c>
      <c r="C50" s="34">
        <v>55741.543100000003</v>
      </c>
      <c r="D50" s="34">
        <v>1.1999999999999999E-3</v>
      </c>
      <c r="E50">
        <f>+(C50-C$7)/C$8</f>
        <v>10489.501966793483</v>
      </c>
      <c r="F50">
        <f>ROUND(2*E50,0)/2</f>
        <v>10489.5</v>
      </c>
      <c r="G50">
        <f>+C50-(C$7+F50*C$8)</f>
        <v>6.0775000747526065E-4</v>
      </c>
      <c r="I50">
        <f>+G50</f>
        <v>6.0775000747526065E-4</v>
      </c>
      <c r="O50">
        <f ca="1">+C$11+C$12*$F50</f>
        <v>4.7272050045140974E-3</v>
      </c>
      <c r="Q50" s="2">
        <f>+C50-15018.5</f>
        <v>40723.043100000003</v>
      </c>
    </row>
    <row r="51" spans="1:17" x14ac:dyDescent="0.2">
      <c r="A51" s="37" t="s">
        <v>56</v>
      </c>
      <c r="B51" s="38" t="s">
        <v>45</v>
      </c>
      <c r="C51" s="37">
        <v>56075.8891</v>
      </c>
      <c r="D51" s="37">
        <v>4.0000000000000002E-4</v>
      </c>
      <c r="E51">
        <f>+(C51-C$7)/C$8</f>
        <v>11571.50859774341</v>
      </c>
      <c r="F51">
        <f>ROUND(2*E51,0)/2</f>
        <v>11571.5</v>
      </c>
      <c r="G51">
        <f>+C51-(C$7+F51*C$8)</f>
        <v>2.6567500026430935E-3</v>
      </c>
      <c r="I51">
        <f>+G51</f>
        <v>2.6567500026430935E-3</v>
      </c>
      <c r="O51">
        <f ca="1">+C$11+C$12*$F51</f>
        <v>5.3445208561451012E-3</v>
      </c>
      <c r="Q51" s="2">
        <f>+C51-15018.5</f>
        <v>41057.3891</v>
      </c>
    </row>
    <row r="52" spans="1:17" x14ac:dyDescent="0.2">
      <c r="A52" s="39" t="s">
        <v>57</v>
      </c>
      <c r="B52" s="40"/>
      <c r="C52" s="39">
        <v>57114.610099999998</v>
      </c>
      <c r="D52" s="39">
        <v>1.8E-3</v>
      </c>
      <c r="E52">
        <f>+(C52-C$7)/C$8</f>
        <v>14933.005399580265</v>
      </c>
      <c r="F52">
        <f>ROUND(2*E52,0)/2</f>
        <v>14933</v>
      </c>
      <c r="G52">
        <f>+C52-(C$7+F52*C$8)</f>
        <v>1.6685000009601936E-3</v>
      </c>
      <c r="I52">
        <f>+G52</f>
        <v>1.6685000009601936E-3</v>
      </c>
      <c r="O52">
        <f ca="1">+C$11+C$12*$F52</f>
        <v>7.2623648813369881E-3</v>
      </c>
      <c r="Q52" s="2">
        <f>+C52-15018.5</f>
        <v>42096.110099999998</v>
      </c>
    </row>
    <row r="53" spans="1:17" x14ac:dyDescent="0.2">
      <c r="A53" s="54" t="s">
        <v>127</v>
      </c>
      <c r="B53" s="55" t="s">
        <v>37</v>
      </c>
      <c r="C53" s="56">
        <v>58653.468500000003</v>
      </c>
      <c r="D53" s="54">
        <v>3.5000000000000001E-3</v>
      </c>
      <c r="E53">
        <f>+(C53-C$7)/C$8</f>
        <v>19913.041030014043</v>
      </c>
      <c r="F53">
        <f>ROUND(2*E53,0)/2</f>
        <v>19913</v>
      </c>
      <c r="G53">
        <f>+C53-(C$7+F53*C$8)</f>
        <v>1.2678500002948567E-2</v>
      </c>
      <c r="I53">
        <f>+G53</f>
        <v>1.2678500002948567E-2</v>
      </c>
      <c r="O53">
        <f ca="1">+C$11+C$12*$F53</f>
        <v>1.0103615289028672E-2</v>
      </c>
      <c r="Q53" s="2">
        <f>+C53-15018.5</f>
        <v>43634.968500000003</v>
      </c>
    </row>
    <row r="54" spans="1:17" x14ac:dyDescent="0.2">
      <c r="A54" s="54" t="s">
        <v>127</v>
      </c>
      <c r="B54" s="55" t="s">
        <v>37</v>
      </c>
      <c r="C54" s="56">
        <v>58664.4424</v>
      </c>
      <c r="D54" s="54">
        <v>3.5000000000000001E-3</v>
      </c>
      <c r="E54">
        <f>+(C54-C$7)/C$8</f>
        <v>19948.554637377008</v>
      </c>
      <c r="F54">
        <f>ROUND(2*E54,0)/2</f>
        <v>19948.5</v>
      </c>
      <c r="G54">
        <f>+C54-(C$7+F54*C$8)</f>
        <v>1.6883249998500105E-2</v>
      </c>
      <c r="I54">
        <f>+G54</f>
        <v>1.6883249998500105E-2</v>
      </c>
      <c r="O54">
        <f ca="1">+C$11+C$12*$F54</f>
        <v>1.0123869182497157E-2</v>
      </c>
      <c r="Q54" s="2">
        <f>+C54-15018.5</f>
        <v>43645.9424</v>
      </c>
    </row>
    <row r="55" spans="1:17" x14ac:dyDescent="0.2">
      <c r="A55" s="54" t="s">
        <v>127</v>
      </c>
      <c r="B55" s="55" t="s">
        <v>37</v>
      </c>
      <c r="C55" s="56">
        <v>58664.593399999998</v>
      </c>
      <c r="D55" s="54">
        <v>3.5000000000000001E-3</v>
      </c>
      <c r="E55">
        <f>+(C55-C$7)/C$8</f>
        <v>19949.043301818248</v>
      </c>
      <c r="F55">
        <f>ROUND(2*E55,0)/2</f>
        <v>19949</v>
      </c>
      <c r="G55">
        <f>+C55-(C$7+F55*C$8)</f>
        <v>1.3380500000494067E-2</v>
      </c>
      <c r="I55">
        <f>+G55</f>
        <v>1.3380500000494067E-2</v>
      </c>
      <c r="O55">
        <f ca="1">+C$11+C$12*$F55</f>
        <v>1.0124154448602346E-2</v>
      </c>
      <c r="Q55" s="2">
        <f>+C55-15018.5</f>
        <v>43646.093399999998</v>
      </c>
    </row>
    <row r="56" spans="1:17" x14ac:dyDescent="0.2">
      <c r="A56" s="54" t="s">
        <v>127</v>
      </c>
      <c r="B56" s="55" t="s">
        <v>37</v>
      </c>
      <c r="C56" s="56">
        <v>58973.601199999997</v>
      </c>
      <c r="D56" s="54">
        <v>3.5000000000000001E-3</v>
      </c>
      <c r="E56">
        <f>+(C56-C$7)/C$8</f>
        <v>20949.05074505146</v>
      </c>
      <c r="F56">
        <f>ROUND(2*E56,0)/2</f>
        <v>20949</v>
      </c>
      <c r="G56">
        <f>+C56-(C$7+F56*C$8)</f>
        <v>1.568050000059884E-2</v>
      </c>
      <c r="I56">
        <f>+G56</f>
        <v>1.568050000059884E-2</v>
      </c>
      <c r="O56">
        <f ca="1">+C$11+C$12*$F56</f>
        <v>1.0694686658982202E-2</v>
      </c>
      <c r="Q56" s="2">
        <f>+C56-15018.5</f>
        <v>43955.101199999997</v>
      </c>
    </row>
    <row r="57" spans="1:17" x14ac:dyDescent="0.2">
      <c r="A57" s="54" t="s">
        <v>127</v>
      </c>
      <c r="B57" s="55" t="s">
        <v>37</v>
      </c>
      <c r="C57" s="56">
        <v>59026.441299999999</v>
      </c>
      <c r="D57" s="54">
        <v>3.5000000000000001E-3</v>
      </c>
      <c r="E57">
        <f>+(C57-C$7)/C$8</f>
        <v>21120.051261223503</v>
      </c>
      <c r="F57">
        <f>ROUND(2*E57,0)/2</f>
        <v>21120</v>
      </c>
      <c r="G57">
        <f>+C57-(C$7+F57*C$8)</f>
        <v>1.5840000000025611E-2</v>
      </c>
      <c r="I57">
        <f>+G57</f>
        <v>1.5840000000025611E-2</v>
      </c>
      <c r="O57">
        <f ca="1">+C$11+C$12*$F57</f>
        <v>1.0792247666957158E-2</v>
      </c>
      <c r="Q57" s="2">
        <f>+C57-15018.5</f>
        <v>44007.941299999999</v>
      </c>
    </row>
    <row r="58" spans="1:17" x14ac:dyDescent="0.2">
      <c r="A58" s="36"/>
      <c r="B58" s="36"/>
      <c r="C58" s="32"/>
      <c r="D58" s="32"/>
    </row>
    <row r="59" spans="1:17" x14ac:dyDescent="0.2">
      <c r="A59" s="36"/>
      <c r="B59" s="36"/>
      <c r="C59" s="32"/>
      <c r="D59" s="32"/>
    </row>
    <row r="60" spans="1:17" x14ac:dyDescent="0.2">
      <c r="A60" s="36"/>
      <c r="B60" s="36"/>
      <c r="C60" s="32"/>
      <c r="D60" s="32"/>
    </row>
    <row r="61" spans="1:17" x14ac:dyDescent="0.2">
      <c r="A61" s="36"/>
      <c r="B61" s="36"/>
      <c r="C61" s="32"/>
      <c r="D61" s="32"/>
    </row>
    <row r="62" spans="1:17" x14ac:dyDescent="0.2">
      <c r="A62" s="36"/>
      <c r="B62" s="36"/>
      <c r="C62" s="32"/>
      <c r="D62" s="32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Q57">
    <sortCondition ref="C21:C5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4"/>
  <sheetViews>
    <sheetView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1" t="s">
        <v>58</v>
      </c>
      <c r="I1" s="42" t="s">
        <v>59</v>
      </c>
      <c r="J1" s="43" t="s">
        <v>60</v>
      </c>
    </row>
    <row r="2" spans="1:16" x14ac:dyDescent="0.2">
      <c r="I2" s="44" t="s">
        <v>61</v>
      </c>
      <c r="J2" s="45" t="s">
        <v>62</v>
      </c>
    </row>
    <row r="3" spans="1:16" x14ac:dyDescent="0.2">
      <c r="A3" s="46" t="s">
        <v>63</v>
      </c>
      <c r="I3" s="44" t="s">
        <v>64</v>
      </c>
      <c r="J3" s="45" t="s">
        <v>65</v>
      </c>
    </row>
    <row r="4" spans="1:16" x14ac:dyDescent="0.2">
      <c r="I4" s="44" t="s">
        <v>66</v>
      </c>
      <c r="J4" s="45" t="s">
        <v>65</v>
      </c>
    </row>
    <row r="5" spans="1:16" ht="13.5" thickBot="1" x14ac:dyDescent="0.25">
      <c r="I5" s="47" t="s">
        <v>67</v>
      </c>
      <c r="J5" s="48" t="s">
        <v>68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BAVM 241 (=IBVS 6157) </v>
      </c>
      <c r="B11" s="3" t="str">
        <f t="shared" ref="B11:B22" si="1">IF(H11=INT(H11),"I","II")</f>
        <v>I</v>
      </c>
      <c r="C11" s="10">
        <f t="shared" ref="C11:C22" si="2">1*G11</f>
        <v>57114.610099999998</v>
      </c>
      <c r="D11" s="12" t="str">
        <f t="shared" ref="D11:D22" si="3">VLOOKUP(F11,I$1:J$5,2,FALSE)</f>
        <v>vis</v>
      </c>
      <c r="E11" s="49">
        <f>VLOOKUP(C11,Active!C$21:E$973,3,FALSE)</f>
        <v>14933.005399580265</v>
      </c>
      <c r="F11" s="3" t="s">
        <v>67</v>
      </c>
      <c r="G11" s="12" t="str">
        <f t="shared" ref="G11:G22" si="4">MID(I11,3,LEN(I11)-3)</f>
        <v>57114.6101</v>
      </c>
      <c r="H11" s="10">
        <f t="shared" ref="H11:H22" si="5">1*K11</f>
        <v>14848</v>
      </c>
      <c r="I11" s="50" t="s">
        <v>121</v>
      </c>
      <c r="J11" s="51" t="s">
        <v>122</v>
      </c>
      <c r="K11" s="50" t="s">
        <v>123</v>
      </c>
      <c r="L11" s="50" t="s">
        <v>124</v>
      </c>
      <c r="M11" s="51" t="s">
        <v>72</v>
      </c>
      <c r="N11" s="51" t="s">
        <v>67</v>
      </c>
      <c r="O11" s="52" t="s">
        <v>125</v>
      </c>
      <c r="P11" s="53" t="s">
        <v>126</v>
      </c>
    </row>
    <row r="12" spans="1:16" ht="12.75" customHeight="1" thickBot="1" x14ac:dyDescent="0.25">
      <c r="A12" s="10" t="str">
        <f t="shared" si="0"/>
        <v>IBVS 5781 </v>
      </c>
      <c r="B12" s="3" t="str">
        <f t="shared" si="1"/>
        <v>I</v>
      </c>
      <c r="C12" s="10">
        <f t="shared" si="2"/>
        <v>53941.434000000001</v>
      </c>
      <c r="D12" s="12" t="str">
        <f t="shared" si="3"/>
        <v>vis</v>
      </c>
      <c r="E12" s="49">
        <f>VLOOKUP(C12,Active!C$21:E$973,3,FALSE)</f>
        <v>4664.0098639021053</v>
      </c>
      <c r="F12" s="3" t="s">
        <v>67</v>
      </c>
      <c r="G12" s="12" t="str">
        <f t="shared" si="4"/>
        <v>53941.434</v>
      </c>
      <c r="H12" s="10">
        <f t="shared" si="5"/>
        <v>4579</v>
      </c>
      <c r="I12" s="50" t="s">
        <v>69</v>
      </c>
      <c r="J12" s="51" t="s">
        <v>70</v>
      </c>
      <c r="K12" s="50">
        <v>4579</v>
      </c>
      <c r="L12" s="50" t="s">
        <v>71</v>
      </c>
      <c r="M12" s="51" t="s">
        <v>72</v>
      </c>
      <c r="N12" s="51" t="s">
        <v>73</v>
      </c>
      <c r="O12" s="52" t="s">
        <v>74</v>
      </c>
      <c r="P12" s="53" t="s">
        <v>75</v>
      </c>
    </row>
    <row r="13" spans="1:16" ht="12.75" customHeight="1" thickBot="1" x14ac:dyDescent="0.25">
      <c r="A13" s="10" t="str">
        <f t="shared" si="0"/>
        <v>IBVS 5781 </v>
      </c>
      <c r="B13" s="3" t="str">
        <f t="shared" si="1"/>
        <v>I</v>
      </c>
      <c r="C13" s="10">
        <f t="shared" si="2"/>
        <v>54217.373599999999</v>
      </c>
      <c r="D13" s="12" t="str">
        <f t="shared" si="3"/>
        <v>vis</v>
      </c>
      <c r="E13" s="49">
        <f>VLOOKUP(C13,Active!C$21:E$973,3,FALSE)</f>
        <v>5557.0023834527219</v>
      </c>
      <c r="F13" s="3" t="s">
        <v>67</v>
      </c>
      <c r="G13" s="12" t="str">
        <f t="shared" si="4"/>
        <v>54217.3736</v>
      </c>
      <c r="H13" s="10">
        <f t="shared" si="5"/>
        <v>5472</v>
      </c>
      <c r="I13" s="50" t="s">
        <v>76</v>
      </c>
      <c r="J13" s="51" t="s">
        <v>77</v>
      </c>
      <c r="K13" s="50">
        <v>5472</v>
      </c>
      <c r="L13" s="50" t="s">
        <v>78</v>
      </c>
      <c r="M13" s="51" t="s">
        <v>72</v>
      </c>
      <c r="N13" s="51" t="s">
        <v>59</v>
      </c>
      <c r="O13" s="52" t="s">
        <v>74</v>
      </c>
      <c r="P13" s="53" t="s">
        <v>75</v>
      </c>
    </row>
    <row r="14" spans="1:16" ht="12.75" customHeight="1" thickBot="1" x14ac:dyDescent="0.25">
      <c r="A14" s="10" t="str">
        <f t="shared" si="0"/>
        <v>BAVM 209 </v>
      </c>
      <c r="B14" s="3" t="str">
        <f t="shared" si="1"/>
        <v>II</v>
      </c>
      <c r="C14" s="10">
        <f t="shared" si="2"/>
        <v>54971.502399999998</v>
      </c>
      <c r="D14" s="12" t="str">
        <f t="shared" si="3"/>
        <v>vis</v>
      </c>
      <c r="E14" s="49">
        <f>VLOOKUP(C14,Active!C$21:E$973,3,FALSE)</f>
        <v>7997.5052223989496</v>
      </c>
      <c r="F14" s="3" t="s">
        <v>67</v>
      </c>
      <c r="G14" s="12" t="str">
        <f t="shared" si="4"/>
        <v>54971.5024</v>
      </c>
      <c r="H14" s="10">
        <f t="shared" si="5"/>
        <v>7912.5</v>
      </c>
      <c r="I14" s="50" t="s">
        <v>79</v>
      </c>
      <c r="J14" s="51" t="s">
        <v>80</v>
      </c>
      <c r="K14" s="50">
        <v>7912.5</v>
      </c>
      <c r="L14" s="50" t="s">
        <v>81</v>
      </c>
      <c r="M14" s="51" t="s">
        <v>72</v>
      </c>
      <c r="N14" s="51" t="s">
        <v>82</v>
      </c>
      <c r="O14" s="52" t="s">
        <v>83</v>
      </c>
      <c r="P14" s="53" t="s">
        <v>84</v>
      </c>
    </row>
    <row r="15" spans="1:16" ht="12.75" customHeight="1" thickBot="1" x14ac:dyDescent="0.25">
      <c r="A15" s="10" t="str">
        <f t="shared" si="0"/>
        <v>IBVS 5920 </v>
      </c>
      <c r="B15" s="3" t="str">
        <f t="shared" si="1"/>
        <v>I</v>
      </c>
      <c r="C15" s="10">
        <f t="shared" si="2"/>
        <v>55067.444300000003</v>
      </c>
      <c r="D15" s="12" t="str">
        <f t="shared" si="3"/>
        <v>vis</v>
      </c>
      <c r="E15" s="49">
        <f>VLOOKUP(C15,Active!C$21:E$973,3,FALSE)</f>
        <v>8307.9912817085897</v>
      </c>
      <c r="F15" s="3" t="s">
        <v>67</v>
      </c>
      <c r="G15" s="12" t="str">
        <f t="shared" si="4"/>
        <v>55067.4443</v>
      </c>
      <c r="H15" s="10">
        <f t="shared" si="5"/>
        <v>8223</v>
      </c>
      <c r="I15" s="50" t="s">
        <v>85</v>
      </c>
      <c r="J15" s="51" t="s">
        <v>86</v>
      </c>
      <c r="K15" s="50" t="s">
        <v>87</v>
      </c>
      <c r="L15" s="50" t="s">
        <v>88</v>
      </c>
      <c r="M15" s="51" t="s">
        <v>72</v>
      </c>
      <c r="N15" s="51" t="s">
        <v>59</v>
      </c>
      <c r="O15" s="52" t="s">
        <v>74</v>
      </c>
      <c r="P15" s="53" t="s">
        <v>89</v>
      </c>
    </row>
    <row r="16" spans="1:16" ht="12.75" customHeight="1" thickBot="1" x14ac:dyDescent="0.25">
      <c r="A16" s="10" t="str">
        <f t="shared" si="0"/>
        <v>IBVS 5945 </v>
      </c>
      <c r="B16" s="3" t="str">
        <f t="shared" si="1"/>
        <v>II</v>
      </c>
      <c r="C16" s="10">
        <f t="shared" si="2"/>
        <v>55327.783000000003</v>
      </c>
      <c r="D16" s="12" t="str">
        <f t="shared" si="3"/>
        <v>vis</v>
      </c>
      <c r="E16" s="49">
        <f>VLOOKUP(C16,Active!C$21:E$973,3,FALSE)</f>
        <v>9150.4963503885992</v>
      </c>
      <c r="F16" s="3" t="s">
        <v>67</v>
      </c>
      <c r="G16" s="12" t="str">
        <f t="shared" si="4"/>
        <v>55327.7830</v>
      </c>
      <c r="H16" s="10">
        <f t="shared" si="5"/>
        <v>9065.5</v>
      </c>
      <c r="I16" s="50" t="s">
        <v>90</v>
      </c>
      <c r="J16" s="51" t="s">
        <v>91</v>
      </c>
      <c r="K16" s="50" t="s">
        <v>92</v>
      </c>
      <c r="L16" s="50" t="s">
        <v>78</v>
      </c>
      <c r="M16" s="51" t="s">
        <v>72</v>
      </c>
      <c r="N16" s="51" t="s">
        <v>67</v>
      </c>
      <c r="O16" s="52" t="s">
        <v>93</v>
      </c>
      <c r="P16" s="53" t="s">
        <v>94</v>
      </c>
    </row>
    <row r="17" spans="1:16" ht="12.75" customHeight="1" thickBot="1" x14ac:dyDescent="0.25">
      <c r="A17" s="10" t="str">
        <f t="shared" si="0"/>
        <v>BAVM 214 </v>
      </c>
      <c r="B17" s="3" t="str">
        <f t="shared" si="1"/>
        <v>II</v>
      </c>
      <c r="C17" s="10">
        <f t="shared" si="2"/>
        <v>55357.447800000002</v>
      </c>
      <c r="D17" s="12" t="str">
        <f t="shared" si="3"/>
        <v>vis</v>
      </c>
      <c r="E17" s="49">
        <f>VLOOKUP(C17,Active!C$21:E$973,3,FALSE)</f>
        <v>9246.4972306318268</v>
      </c>
      <c r="F17" s="3" t="s">
        <v>67</v>
      </c>
      <c r="G17" s="12" t="str">
        <f t="shared" si="4"/>
        <v>55357.4478</v>
      </c>
      <c r="H17" s="10">
        <f t="shared" si="5"/>
        <v>9161.5</v>
      </c>
      <c r="I17" s="50" t="s">
        <v>95</v>
      </c>
      <c r="J17" s="51" t="s">
        <v>96</v>
      </c>
      <c r="K17" s="50" t="s">
        <v>97</v>
      </c>
      <c r="L17" s="50" t="s">
        <v>98</v>
      </c>
      <c r="M17" s="51" t="s">
        <v>72</v>
      </c>
      <c r="N17" s="51" t="s">
        <v>82</v>
      </c>
      <c r="O17" s="52" t="s">
        <v>83</v>
      </c>
      <c r="P17" s="53" t="s">
        <v>99</v>
      </c>
    </row>
    <row r="18" spans="1:16" ht="12.75" customHeight="1" thickBot="1" x14ac:dyDescent="0.25">
      <c r="A18" s="10" t="str">
        <f t="shared" si="0"/>
        <v>BAVM 220 </v>
      </c>
      <c r="B18" s="3" t="str">
        <f t="shared" si="1"/>
        <v>I</v>
      </c>
      <c r="C18" s="10">
        <f t="shared" si="2"/>
        <v>55672.4804</v>
      </c>
      <c r="D18" s="12" t="str">
        <f t="shared" si="3"/>
        <v>vis</v>
      </c>
      <c r="E18" s="49">
        <f>VLOOKUP(C18,Active!C$21:E$973,3,FALSE)</f>
        <v>10266.002061451985</v>
      </c>
      <c r="F18" s="3" t="s">
        <v>67</v>
      </c>
      <c r="G18" s="12" t="str">
        <f t="shared" si="4"/>
        <v>55672.4804</v>
      </c>
      <c r="H18" s="10">
        <f t="shared" si="5"/>
        <v>10181</v>
      </c>
      <c r="I18" s="50" t="s">
        <v>100</v>
      </c>
      <c r="J18" s="51" t="s">
        <v>101</v>
      </c>
      <c r="K18" s="50" t="s">
        <v>102</v>
      </c>
      <c r="L18" s="50" t="s">
        <v>103</v>
      </c>
      <c r="M18" s="51" t="s">
        <v>72</v>
      </c>
      <c r="N18" s="51" t="s">
        <v>82</v>
      </c>
      <c r="O18" s="52" t="s">
        <v>83</v>
      </c>
      <c r="P18" s="53" t="s">
        <v>104</v>
      </c>
    </row>
    <row r="19" spans="1:16" ht="12.75" customHeight="1" thickBot="1" x14ac:dyDescent="0.25">
      <c r="A19" s="10" t="str">
        <f t="shared" si="0"/>
        <v>BAVM 220 </v>
      </c>
      <c r="B19" s="3" t="str">
        <f t="shared" si="1"/>
        <v>I</v>
      </c>
      <c r="C19" s="10">
        <f t="shared" si="2"/>
        <v>55682.368699999999</v>
      </c>
      <c r="D19" s="12" t="str">
        <f t="shared" si="3"/>
        <v>vis</v>
      </c>
      <c r="E19" s="49">
        <f>VLOOKUP(C19,Active!C$21:E$973,3,FALSE)</f>
        <v>10298.002462739338</v>
      </c>
      <c r="F19" s="3" t="s">
        <v>67</v>
      </c>
      <c r="G19" s="12" t="str">
        <f t="shared" si="4"/>
        <v>55682.3687</v>
      </c>
      <c r="H19" s="10">
        <f t="shared" si="5"/>
        <v>10213</v>
      </c>
      <c r="I19" s="50" t="s">
        <v>105</v>
      </c>
      <c r="J19" s="51" t="s">
        <v>106</v>
      </c>
      <c r="K19" s="50" t="s">
        <v>107</v>
      </c>
      <c r="L19" s="50" t="s">
        <v>108</v>
      </c>
      <c r="M19" s="51" t="s">
        <v>72</v>
      </c>
      <c r="N19" s="51" t="s">
        <v>82</v>
      </c>
      <c r="O19" s="52" t="s">
        <v>83</v>
      </c>
      <c r="P19" s="53" t="s">
        <v>104</v>
      </c>
    </row>
    <row r="20" spans="1:16" ht="12.75" customHeight="1" thickBot="1" x14ac:dyDescent="0.25">
      <c r="A20" s="10" t="str">
        <f t="shared" si="0"/>
        <v>BAVM 220 </v>
      </c>
      <c r="B20" s="3" t="str">
        <f t="shared" si="1"/>
        <v>II</v>
      </c>
      <c r="C20" s="10">
        <f t="shared" si="2"/>
        <v>55682.5242</v>
      </c>
      <c r="D20" s="12" t="str">
        <f t="shared" si="3"/>
        <v>vis</v>
      </c>
      <c r="E20" s="49">
        <f>VLOOKUP(C20,Active!C$21:E$973,3,FALSE)</f>
        <v>10298.505690028174</v>
      </c>
      <c r="F20" s="3" t="s">
        <v>67</v>
      </c>
      <c r="G20" s="12" t="str">
        <f t="shared" si="4"/>
        <v>55682.5242</v>
      </c>
      <c r="H20" s="10">
        <f t="shared" si="5"/>
        <v>10213.5</v>
      </c>
      <c r="I20" s="50" t="s">
        <v>109</v>
      </c>
      <c r="J20" s="51" t="s">
        <v>110</v>
      </c>
      <c r="K20" s="50" t="s">
        <v>111</v>
      </c>
      <c r="L20" s="50" t="s">
        <v>112</v>
      </c>
      <c r="M20" s="51" t="s">
        <v>72</v>
      </c>
      <c r="N20" s="51" t="s">
        <v>82</v>
      </c>
      <c r="O20" s="52" t="s">
        <v>83</v>
      </c>
      <c r="P20" s="53" t="s">
        <v>104</v>
      </c>
    </row>
    <row r="21" spans="1:16" ht="12.75" customHeight="1" thickBot="1" x14ac:dyDescent="0.25">
      <c r="A21" s="10" t="str">
        <f t="shared" si="0"/>
        <v>BAVM 220 </v>
      </c>
      <c r="B21" s="3" t="str">
        <f t="shared" si="1"/>
        <v>II</v>
      </c>
      <c r="C21" s="10">
        <f t="shared" si="2"/>
        <v>55741.543100000003</v>
      </c>
      <c r="D21" s="12" t="str">
        <f t="shared" si="3"/>
        <v>vis</v>
      </c>
      <c r="E21" s="49">
        <f>VLOOKUP(C21,Active!C$21:E$973,3,FALSE)</f>
        <v>10489.501966793483</v>
      </c>
      <c r="F21" s="3" t="s">
        <v>67</v>
      </c>
      <c r="G21" s="12" t="str">
        <f t="shared" si="4"/>
        <v>55741.5431</v>
      </c>
      <c r="H21" s="10">
        <f t="shared" si="5"/>
        <v>10404.5</v>
      </c>
      <c r="I21" s="50" t="s">
        <v>113</v>
      </c>
      <c r="J21" s="51" t="s">
        <v>114</v>
      </c>
      <c r="K21" s="50" t="s">
        <v>115</v>
      </c>
      <c r="L21" s="50" t="s">
        <v>108</v>
      </c>
      <c r="M21" s="51" t="s">
        <v>72</v>
      </c>
      <c r="N21" s="51" t="s">
        <v>82</v>
      </c>
      <c r="O21" s="52" t="s">
        <v>83</v>
      </c>
      <c r="P21" s="53" t="s">
        <v>104</v>
      </c>
    </row>
    <row r="22" spans="1:16" ht="12.75" customHeight="1" thickBot="1" x14ac:dyDescent="0.25">
      <c r="A22" s="10" t="str">
        <f t="shared" si="0"/>
        <v>IBVS 6029 </v>
      </c>
      <c r="B22" s="3" t="str">
        <f t="shared" si="1"/>
        <v>II</v>
      </c>
      <c r="C22" s="10">
        <f t="shared" si="2"/>
        <v>56075.8891</v>
      </c>
      <c r="D22" s="12" t="str">
        <f t="shared" si="3"/>
        <v>vis</v>
      </c>
      <c r="E22" s="49">
        <f>VLOOKUP(C22,Active!C$21:E$973,3,FALSE)</f>
        <v>11571.50859774341</v>
      </c>
      <c r="F22" s="3" t="s">
        <v>67</v>
      </c>
      <c r="G22" s="12" t="str">
        <f t="shared" si="4"/>
        <v>56075.8891</v>
      </c>
      <c r="H22" s="10">
        <f t="shared" si="5"/>
        <v>11486.5</v>
      </c>
      <c r="I22" s="50" t="s">
        <v>116</v>
      </c>
      <c r="J22" s="51" t="s">
        <v>117</v>
      </c>
      <c r="K22" s="50" t="s">
        <v>118</v>
      </c>
      <c r="L22" s="50" t="s">
        <v>119</v>
      </c>
      <c r="M22" s="51" t="s">
        <v>72</v>
      </c>
      <c r="N22" s="51" t="s">
        <v>67</v>
      </c>
      <c r="O22" s="52" t="s">
        <v>93</v>
      </c>
      <c r="P22" s="53" t="s">
        <v>120</v>
      </c>
    </row>
    <row r="23" spans="1:16" x14ac:dyDescent="0.2">
      <c r="B23" s="3"/>
      <c r="E23" s="49"/>
      <c r="F23" s="3"/>
    </row>
    <row r="24" spans="1:16" x14ac:dyDescent="0.2">
      <c r="B24" s="3"/>
      <c r="E24" s="49"/>
      <c r="F24" s="3"/>
    </row>
    <row r="25" spans="1:16" x14ac:dyDescent="0.2">
      <c r="B25" s="3"/>
      <c r="E25" s="49"/>
      <c r="F25" s="3"/>
    </row>
    <row r="26" spans="1:16" x14ac:dyDescent="0.2">
      <c r="B26" s="3"/>
      <c r="E26" s="49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</sheetData>
  <phoneticPr fontId="7" type="noConversion"/>
  <hyperlinks>
    <hyperlink ref="P12" r:id="rId1" display="http://www.konkoly.hu/cgi-bin/IBVS?5781"/>
    <hyperlink ref="P13" r:id="rId2" display="http://www.konkoly.hu/cgi-bin/IBVS?5781"/>
    <hyperlink ref="P14" r:id="rId3" display="http://www.bav-astro.de/sfs/BAVM_link.php?BAVMnr=209"/>
    <hyperlink ref="P15" r:id="rId4" display="http://www.konkoly.hu/cgi-bin/IBVS?5920"/>
    <hyperlink ref="P16" r:id="rId5" display="http://www.konkoly.hu/cgi-bin/IBVS?5945"/>
    <hyperlink ref="P17" r:id="rId6" display="http://www.bav-astro.de/sfs/BAVM_link.php?BAVMnr=214"/>
    <hyperlink ref="P18" r:id="rId7" display="http://www.bav-astro.de/sfs/BAVM_link.php?BAVMnr=220"/>
    <hyperlink ref="P19" r:id="rId8" display="http://www.bav-astro.de/sfs/BAVM_link.php?BAVMnr=220"/>
    <hyperlink ref="P20" r:id="rId9" display="http://www.bav-astro.de/sfs/BAVM_link.php?BAVMnr=220"/>
    <hyperlink ref="P21" r:id="rId10" display="http://www.bav-astro.de/sfs/BAVM_link.php?BAVMnr=220"/>
    <hyperlink ref="P22" r:id="rId11" display="http://www.konkoly.hu/cgi-bin/IBVS?6029"/>
    <hyperlink ref="P11" r:id="rId12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2023-01-16T04:21:29Z</dcterms:modified>
</cp:coreProperties>
</file>