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4AB26BB-BF33-4972-B766-E24D830E5539}" xr6:coauthVersionLast="47" xr6:coauthVersionMax="47" xr10:uidLastSave="{00000000-0000-0000-0000-000000000000}"/>
  <bookViews>
    <workbookView xWindow="14085" yWindow="55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Q39" i="1"/>
  <c r="Q40" i="1"/>
  <c r="Q38" i="1"/>
  <c r="D9" i="1"/>
  <c r="C9" i="1"/>
  <c r="Q21" i="1"/>
  <c r="Q22" i="1"/>
  <c r="Q23" i="1"/>
  <c r="Q25" i="1"/>
  <c r="Q31" i="1"/>
  <c r="Q32" i="1"/>
  <c r="Q35" i="1"/>
  <c r="G19" i="2"/>
  <c r="C19" i="2"/>
  <c r="E19" i="2"/>
  <c r="G18" i="2"/>
  <c r="C18" i="2"/>
  <c r="G26" i="2"/>
  <c r="C26" i="2"/>
  <c r="G17" i="2"/>
  <c r="C17" i="2"/>
  <c r="G16" i="2"/>
  <c r="C16" i="2"/>
  <c r="E16" i="2"/>
  <c r="G25" i="2"/>
  <c r="C25" i="2"/>
  <c r="G24" i="2"/>
  <c r="C24" i="2"/>
  <c r="G15" i="2"/>
  <c r="C15" i="2"/>
  <c r="G14" i="2"/>
  <c r="C14" i="2"/>
  <c r="G13" i="2"/>
  <c r="C13" i="2"/>
  <c r="G12" i="2"/>
  <c r="C12" i="2"/>
  <c r="E12" i="2"/>
  <c r="G11" i="2"/>
  <c r="C11" i="2"/>
  <c r="G23" i="2"/>
  <c r="C23" i="2"/>
  <c r="E23" i="2"/>
  <c r="G22" i="2"/>
  <c r="C22" i="2"/>
  <c r="G21" i="2"/>
  <c r="C21" i="2"/>
  <c r="G20" i="2"/>
  <c r="C20" i="2"/>
  <c r="H19" i="2"/>
  <c r="B19" i="2"/>
  <c r="D19" i="2"/>
  <c r="A19" i="2"/>
  <c r="H18" i="2"/>
  <c r="D18" i="2"/>
  <c r="B18" i="2"/>
  <c r="A18" i="2"/>
  <c r="H26" i="2"/>
  <c r="B26" i="2"/>
  <c r="D26" i="2"/>
  <c r="A26" i="2"/>
  <c r="H17" i="2"/>
  <c r="D17" i="2"/>
  <c r="B17" i="2"/>
  <c r="A17" i="2"/>
  <c r="H16" i="2"/>
  <c r="B16" i="2"/>
  <c r="D16" i="2"/>
  <c r="A16" i="2"/>
  <c r="H25" i="2"/>
  <c r="D25" i="2"/>
  <c r="B25" i="2"/>
  <c r="A25" i="2"/>
  <c r="H24" i="2"/>
  <c r="B24" i="2"/>
  <c r="D24" i="2"/>
  <c r="A24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Q37" i="1"/>
  <c r="Q33" i="1"/>
  <c r="Q36" i="1"/>
  <c r="Q34" i="1"/>
  <c r="F16" i="1"/>
  <c r="Q30" i="1"/>
  <c r="Q26" i="1"/>
  <c r="Q27" i="1"/>
  <c r="Q28" i="1"/>
  <c r="Q29" i="1"/>
  <c r="C7" i="1"/>
  <c r="E39" i="1"/>
  <c r="F39" i="1"/>
  <c r="C8" i="1"/>
  <c r="E26" i="1"/>
  <c r="E37" i="1"/>
  <c r="F37" i="1"/>
  <c r="G37" i="1"/>
  <c r="K37" i="1"/>
  <c r="E25" i="1"/>
  <c r="F25" i="1"/>
  <c r="G25" i="1"/>
  <c r="I25" i="1"/>
  <c r="E33" i="1"/>
  <c r="F33" i="1"/>
  <c r="G33" i="1"/>
  <c r="J33" i="1"/>
  <c r="E38" i="1"/>
  <c r="F38" i="1"/>
  <c r="G38" i="1"/>
  <c r="K38" i="1"/>
  <c r="E30" i="1"/>
  <c r="F30" i="1"/>
  <c r="G30" i="1"/>
  <c r="J30" i="1"/>
  <c r="C24" i="1"/>
  <c r="G24" i="1"/>
  <c r="I24" i="1"/>
  <c r="E27" i="1"/>
  <c r="F27" i="1"/>
  <c r="G27" i="1"/>
  <c r="J27" i="1"/>
  <c r="E34" i="1"/>
  <c r="F34" i="1"/>
  <c r="G34" i="1"/>
  <c r="K34" i="1"/>
  <c r="E15" i="2"/>
  <c r="Q24" i="1"/>
  <c r="C17" i="1"/>
  <c r="E24" i="1"/>
  <c r="F24" i="1"/>
  <c r="E17" i="2"/>
  <c r="E13" i="2"/>
  <c r="E22" i="2"/>
  <c r="E11" i="2"/>
  <c r="F26" i="1"/>
  <c r="G26" i="1"/>
  <c r="J26" i="1"/>
  <c r="E24" i="2"/>
  <c r="E35" i="1"/>
  <c r="F35" i="1"/>
  <c r="G35" i="1"/>
  <c r="K35" i="1"/>
  <c r="E22" i="1"/>
  <c r="E32" i="1"/>
  <c r="F32" i="1"/>
  <c r="G32" i="1"/>
  <c r="K32" i="1"/>
  <c r="E23" i="1"/>
  <c r="F23" i="1"/>
  <c r="G23" i="1"/>
  <c r="I23" i="1"/>
  <c r="E40" i="1"/>
  <c r="F40" i="1"/>
  <c r="G40" i="1"/>
  <c r="K40" i="1"/>
  <c r="E29" i="1"/>
  <c r="F29" i="1"/>
  <c r="G29" i="1"/>
  <c r="J29" i="1"/>
  <c r="E31" i="1"/>
  <c r="F31" i="1"/>
  <c r="G31" i="1"/>
  <c r="K31" i="1"/>
  <c r="E36" i="1"/>
  <c r="F36" i="1"/>
  <c r="G36" i="1"/>
  <c r="K36" i="1"/>
  <c r="E21" i="1"/>
  <c r="F21" i="1"/>
  <c r="G21" i="1"/>
  <c r="I21" i="1"/>
  <c r="G39" i="1"/>
  <c r="K39" i="1"/>
  <c r="E28" i="1"/>
  <c r="F28" i="1"/>
  <c r="G28" i="1"/>
  <c r="E20" i="2"/>
  <c r="E18" i="2"/>
  <c r="J28" i="1"/>
  <c r="E21" i="2"/>
  <c r="F22" i="1"/>
  <c r="G22" i="1"/>
  <c r="I22" i="1"/>
  <c r="E26" i="2"/>
  <c r="E25" i="2"/>
  <c r="E14" i="2"/>
  <c r="C12" i="1"/>
  <c r="C11" i="1"/>
  <c r="O41" i="1" l="1"/>
  <c r="O32" i="1"/>
  <c r="O36" i="1"/>
  <c r="O27" i="1"/>
  <c r="O35" i="1"/>
  <c r="O40" i="1"/>
  <c r="O38" i="1"/>
  <c r="O33" i="1"/>
  <c r="O39" i="1"/>
  <c r="O28" i="1"/>
  <c r="O37" i="1"/>
  <c r="O31" i="1"/>
  <c r="O34" i="1"/>
  <c r="O29" i="1"/>
  <c r="O30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<sst xmlns="http://schemas.openxmlformats.org/spreadsheetml/2006/main" count="228" uniqueCount="132">
  <si>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</si>
  <si>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</si>
  <si>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</si>
  <si>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</si>
  <si>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</si>
  <si>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</si>
  <si>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</si>
  <si>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</si>
  <si>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</si>
  <si>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</si>
  <si>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</si>
  <si>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</si>
  <si>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</si>
  <si>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</si>
  <si>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</si>
  <si>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</si>
  <si>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</si>
  <si>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</si>
  <si>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</si>
  <si>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</si>
  <si>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</si>
  <si>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</si>
  <si>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</si>
  <si>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</si>
  <si>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</si>
  <si>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</si>
  <si>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</si>
  <si>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</si>
  <si>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</si>
  <si>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EA/KE</t>
  </si>
  <si>
    <t>IBVS 5643</t>
  </si>
  <si>
    <t># of data points:</t>
  </si>
  <si>
    <t>LY Lac / GSC 03986-02418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</si>
  <si>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</si>
  <si>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</si>
  <si>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</si>
  <si>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</si>
  <si>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</si>
  <si>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</si>
  <si>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Add cycle</t>
  </si>
  <si>
    <t>Old Cycle</t>
  </si>
  <si>
    <t>Start of linear fit &gt;&gt;&gt;&gt;&gt;&gt;&gt;&gt;&gt;&gt;&gt;&gt;&gt;&gt;&gt;&gt;&gt;&gt;&gt;&gt;&gt;</t>
  </si>
  <si>
    <t>IBVS 5960</t>
  </si>
  <si>
    <t>I</t>
  </si>
  <si>
    <t>IBVS 5959</t>
  </si>
  <si>
    <t>IBVS 6011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</si>
  <si>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</si>
  <si>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</si>
  <si>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</si>
  <si>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</si>
  <si>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</si>
  <si>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</si>
  <si>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</si>
  <si>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</si>
  <si>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</si>
  <si>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</si>
  <si>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</si>
  <si>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</si>
  <si>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2432749.562 </t>
  </si>
  <si>
    <t> 17.07.1948 01:29 </t>
  </si>
  <si>
    <t> 0.007 </t>
  </si>
  <si>
    <t>P </t>
  </si>
  <si>
    <t> Miller &amp; Wachmann </t>
  </si>
  <si>
    <t> RIA 8.231 </t>
  </si>
  <si>
    <t>2433205.381 </t>
  </si>
  <si>
    <t> 15.10.1949 21:08 </t>
  </si>
  <si>
    <t> 0.005 </t>
  </si>
  <si>
    <t>2434152.553 </t>
  </si>
  <si>
    <t> 20.05.1952 01:16 </t>
  </si>
  <si>
    <t> -0.002 </t>
  </si>
  <si>
    <t>2435101.273 </t>
  </si>
  <si>
    <t> 24.12.1954 18:33 </t>
  </si>
  <si>
    <t> -0.006 </t>
  </si>
  <si>
    <t>2449270.511 </t>
  </si>
  <si>
    <t> 10.10.1993 00:15 </t>
  </si>
  <si>
    <t> 0.171 </t>
  </si>
  <si>
    <t>E </t>
  </si>
  <si>
    <t>o</t>
  </si>
  <si>
    <t> F.Agerer </t>
  </si>
  <si>
    <t>BAVM 172 </t>
  </si>
  <si>
    <t>2449624.3539 </t>
  </si>
  <si>
    <t> 28.09.1994 20:29 </t>
  </si>
  <si>
    <t> 0.1739 </t>
  </si>
  <si>
    <t>2451767.5080 </t>
  </si>
  <si>
    <t> 11.08.2000 00:11 </t>
  </si>
  <si>
    <t> 0.1997 </t>
  </si>
  <si>
    <t>2451798.4125 </t>
  </si>
  <si>
    <t> 10.09.2000 21:54 </t>
  </si>
  <si>
    <t> 0.2011 </t>
  </si>
  <si>
    <t>2454244.4170 </t>
  </si>
  <si>
    <t> 23.05.2007 22:00 </t>
  </si>
  <si>
    <t> 0.2271 </t>
  </si>
  <si>
    <t>C </t>
  </si>
  <si>
    <t>-I</t>
  </si>
  <si>
    <t>BAVM 186 </t>
  </si>
  <si>
    <t>2455049.4457 </t>
  </si>
  <si>
    <t> 05.08.2009 22:41 </t>
  </si>
  <si>
    <t>13524</t>
  </si>
  <si>
    <t> 0.2307 </t>
  </si>
  <si>
    <t>BAVM 212 </t>
  </si>
  <si>
    <t>2455097.3457 </t>
  </si>
  <si>
    <t> 22.09.2009 20:17 </t>
  </si>
  <si>
    <t>13555</t>
  </si>
  <si>
    <t> 0.2309 </t>
  </si>
  <si>
    <t>2455358.4766 </t>
  </si>
  <si>
    <t> 10.06.2010 23:26 </t>
  </si>
  <si>
    <t>13724</t>
  </si>
  <si>
    <t> 0.2308 </t>
  </si>
  <si>
    <t>BAVM 214 </t>
  </si>
  <si>
    <t>2455469.7260 </t>
  </si>
  <si>
    <t> 30.09.2010 05:25 </t>
  </si>
  <si>
    <t>13796</t>
  </si>
  <si>
    <t> 0.2292 </t>
  </si>
  <si>
    <t> R.Diethelm </t>
  </si>
  <si>
    <t>IBVS 5960 </t>
  </si>
  <si>
    <t>2455851.3819 </t>
  </si>
  <si>
    <t> 16.10.2011 21:09 </t>
  </si>
  <si>
    <t>14043</t>
  </si>
  <si>
    <t> 0.2321 </t>
  </si>
  <si>
    <t>BAVM 225 </t>
  </si>
  <si>
    <t>2455863.7430 </t>
  </si>
  <si>
    <t> 29.10.2011 05:49 </t>
  </si>
  <si>
    <t>14051</t>
  </si>
  <si>
    <t> 0.2320 </t>
  </si>
  <si>
    <t>IBVS 6011 </t>
  </si>
  <si>
    <t>2456928.3593 </t>
  </si>
  <si>
    <t> 27.09.2014 20:37 </t>
  </si>
  <si>
    <t>14740</t>
  </si>
  <si>
    <t> 0.2373 </t>
  </si>
  <si>
    <t>BAVM 239 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</si>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</sst>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 wrapText="1"/>
    </xf>
    <xf numFmtId="0" fontId="35" fillId="0" borderId="0" xfId="43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LY Lac - O-C Diagr.</a:t>
            </a:r>
          </a:p>
        </c:rich>
      </c:tx>
      <c:layout>
        <c:manualLayout>
          <c:xMode val="edge"/>
          <c:yMode val="edge"/>
          <c:x val="0.3907878305702128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34168126798494"/>
          <c:w val="0.8216945040386620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-908</c:v>
                </c:pt>
                <c:pt idx="1">
                  <c:v>-613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9784</c:v>
                </c:pt>
                <c:pt idx="6">
                  <c:v>10013</c:v>
                </c:pt>
                <c:pt idx="7">
                  <c:v>11400</c:v>
                </c:pt>
                <c:pt idx="8">
                  <c:v>11420</c:v>
                </c:pt>
                <c:pt idx="9">
                  <c:v>13003</c:v>
                </c:pt>
                <c:pt idx="10">
                  <c:v>13524</c:v>
                </c:pt>
                <c:pt idx="11">
                  <c:v>13555</c:v>
                </c:pt>
                <c:pt idx="12">
                  <c:v>13724</c:v>
                </c:pt>
                <c:pt idx="13">
                  <c:v>13796</c:v>
                </c:pt>
                <c:pt idx="14">
                  <c:v>14043</c:v>
                </c:pt>
                <c:pt idx="15">
                  <c:v>14051</c:v>
                </c:pt>
                <c:pt idx="16">
                  <c:v>14740</c:v>
                </c:pt>
                <c:pt idx="17">
                  <c:v>15426</c:v>
                </c:pt>
                <c:pt idx="18">
                  <c:v>15373</c:v>
                </c:pt>
                <c:pt idx="19">
                  <c:v>15384</c:v>
                </c:pt>
                <c:pt idx="20">
                  <c:v>16127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7F-4402-ADA3-CAE3B64FE1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1.2999999999999999E-3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5.7999999999999996E-3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1.9E-3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1.2999999999999999E-3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5.7999999999999996E-3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1.9E-3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-908</c:v>
                </c:pt>
                <c:pt idx="1">
                  <c:v>-613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9784</c:v>
                </c:pt>
                <c:pt idx="6">
                  <c:v>10013</c:v>
                </c:pt>
                <c:pt idx="7">
                  <c:v>11400</c:v>
                </c:pt>
                <c:pt idx="8">
                  <c:v>11420</c:v>
                </c:pt>
                <c:pt idx="9">
                  <c:v>13003</c:v>
                </c:pt>
                <c:pt idx="10">
                  <c:v>13524</c:v>
                </c:pt>
                <c:pt idx="11">
                  <c:v>13555</c:v>
                </c:pt>
                <c:pt idx="12">
                  <c:v>13724</c:v>
                </c:pt>
                <c:pt idx="13">
                  <c:v>13796</c:v>
                </c:pt>
                <c:pt idx="14">
                  <c:v>14043</c:v>
                </c:pt>
                <c:pt idx="15">
                  <c:v>14051</c:v>
                </c:pt>
                <c:pt idx="16">
                  <c:v>14740</c:v>
                </c:pt>
                <c:pt idx="17">
                  <c:v>15426</c:v>
                </c:pt>
                <c:pt idx="18">
                  <c:v>15373</c:v>
                </c:pt>
                <c:pt idx="19">
                  <c:v>15384</c:v>
                </c:pt>
                <c:pt idx="20">
                  <c:v>16127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6.6504000023996923E-3</c:v>
                </c:pt>
                <c:pt idx="1">
                  <c:v>5.2794000002904795E-3</c:v>
                </c:pt>
                <c:pt idx="2">
                  <c:v>-2.0000000004074536E-3</c:v>
                </c:pt>
                <c:pt idx="3">
                  <c:v>0</c:v>
                </c:pt>
                <c:pt idx="4">
                  <c:v>-6.4331999965361319E-3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7F-4402-ADA3-CAE3B64FE1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1.2999999999999999E-3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5.7999999999999996E-3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1.9E-3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1.2999999999999999E-3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5.7999999999999996E-3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1.9E-3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-908</c:v>
                </c:pt>
                <c:pt idx="1">
                  <c:v>-613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9784</c:v>
                </c:pt>
                <c:pt idx="6">
                  <c:v>10013</c:v>
                </c:pt>
                <c:pt idx="7">
                  <c:v>11400</c:v>
                </c:pt>
                <c:pt idx="8">
                  <c:v>11420</c:v>
                </c:pt>
                <c:pt idx="9">
                  <c:v>13003</c:v>
                </c:pt>
                <c:pt idx="10">
                  <c:v>13524</c:v>
                </c:pt>
                <c:pt idx="11">
                  <c:v>13555</c:v>
                </c:pt>
                <c:pt idx="12">
                  <c:v>13724</c:v>
                </c:pt>
                <c:pt idx="13">
                  <c:v>13796</c:v>
                </c:pt>
                <c:pt idx="14">
                  <c:v>14043</c:v>
                </c:pt>
                <c:pt idx="15">
                  <c:v>14051</c:v>
                </c:pt>
                <c:pt idx="16">
                  <c:v>14740</c:v>
                </c:pt>
                <c:pt idx="17">
                  <c:v>15426</c:v>
                </c:pt>
                <c:pt idx="18">
                  <c:v>15373</c:v>
                </c:pt>
                <c:pt idx="19">
                  <c:v>15384</c:v>
                </c:pt>
                <c:pt idx="20">
                  <c:v>16127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0.17122079999535345</c:v>
                </c:pt>
                <c:pt idx="6">
                  <c:v>0.17390059999888763</c:v>
                </c:pt>
                <c:pt idx="7">
                  <c:v>0.1996800000051735</c:v>
                </c:pt>
                <c:pt idx="8">
                  <c:v>0.20110399999975925</c:v>
                </c:pt>
                <c:pt idx="9">
                  <c:v>0.22713859999930719</c:v>
                </c:pt>
                <c:pt idx="12">
                  <c:v>0.23084880000533303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7F-4402-ADA3-CAE3B64FE1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1.2999999999999999E-3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5.7999999999999996E-3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1.9E-3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1.2999999999999999E-3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5.7999999999999996E-3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1.9E-3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-908</c:v>
                </c:pt>
                <c:pt idx="1">
                  <c:v>-613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9784</c:v>
                </c:pt>
                <c:pt idx="6">
                  <c:v>10013</c:v>
                </c:pt>
                <c:pt idx="7">
                  <c:v>11400</c:v>
                </c:pt>
                <c:pt idx="8">
                  <c:v>11420</c:v>
                </c:pt>
                <c:pt idx="9">
                  <c:v>13003</c:v>
                </c:pt>
                <c:pt idx="10">
                  <c:v>13524</c:v>
                </c:pt>
                <c:pt idx="11">
                  <c:v>13555</c:v>
                </c:pt>
                <c:pt idx="12">
                  <c:v>13724</c:v>
                </c:pt>
                <c:pt idx="13">
                  <c:v>13796</c:v>
                </c:pt>
                <c:pt idx="14">
                  <c:v>14043</c:v>
                </c:pt>
                <c:pt idx="15">
                  <c:v>14051</c:v>
                </c:pt>
                <c:pt idx="16">
                  <c:v>14740</c:v>
                </c:pt>
                <c:pt idx="17">
                  <c:v>15426</c:v>
                </c:pt>
                <c:pt idx="18">
                  <c:v>15373</c:v>
                </c:pt>
                <c:pt idx="19">
                  <c:v>15384</c:v>
                </c:pt>
                <c:pt idx="20">
                  <c:v>16127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0.23070879999431781</c:v>
                </c:pt>
                <c:pt idx="11">
                  <c:v>0.23094099999434547</c:v>
                </c:pt>
                <c:pt idx="13">
                  <c:v>0.22917520000191871</c:v>
                </c:pt>
                <c:pt idx="14">
                  <c:v>0.23208660000091186</c:v>
                </c:pt>
                <c:pt idx="15">
                  <c:v>0.23195620000478812</c:v>
                </c:pt>
                <c:pt idx="16">
                  <c:v>0.23728799999662442</c:v>
                </c:pt>
                <c:pt idx="17">
                  <c:v>0.25008119999984046</c:v>
                </c:pt>
                <c:pt idx="18">
                  <c:v>0.24659260004409589</c:v>
                </c:pt>
                <c:pt idx="19">
                  <c:v>0.24701079992519226</c:v>
                </c:pt>
                <c:pt idx="20">
                  <c:v>0.24176740000257269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7F-4402-ADA3-CAE3B64FE1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1.2999999999999999E-3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5.7999999999999996E-3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1.9E-3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1.2999999999999999E-3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5.7999999999999996E-3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1.9E-3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-908</c:v>
                </c:pt>
                <c:pt idx="1">
                  <c:v>-613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9784</c:v>
                </c:pt>
                <c:pt idx="6">
                  <c:v>10013</c:v>
                </c:pt>
                <c:pt idx="7">
                  <c:v>11400</c:v>
                </c:pt>
                <c:pt idx="8">
                  <c:v>11420</c:v>
                </c:pt>
                <c:pt idx="9">
                  <c:v>13003</c:v>
                </c:pt>
                <c:pt idx="10">
                  <c:v>13524</c:v>
                </c:pt>
                <c:pt idx="11">
                  <c:v>13555</c:v>
                </c:pt>
                <c:pt idx="12">
                  <c:v>13724</c:v>
                </c:pt>
                <c:pt idx="13">
                  <c:v>13796</c:v>
                </c:pt>
                <c:pt idx="14">
                  <c:v>14043</c:v>
                </c:pt>
                <c:pt idx="15">
                  <c:v>14051</c:v>
                </c:pt>
                <c:pt idx="16">
                  <c:v>14740</c:v>
                </c:pt>
                <c:pt idx="17">
                  <c:v>15426</c:v>
                </c:pt>
                <c:pt idx="18">
                  <c:v>15373</c:v>
                </c:pt>
                <c:pt idx="19">
                  <c:v>15384</c:v>
                </c:pt>
                <c:pt idx="20">
                  <c:v>16127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7F-4402-ADA3-CAE3B64FE1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1.2999999999999999E-3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5.7999999999999996E-3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1.9E-3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1.2999999999999999E-3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5.7999999999999996E-3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1.9E-3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-908</c:v>
                </c:pt>
                <c:pt idx="1">
                  <c:v>-613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9784</c:v>
                </c:pt>
                <c:pt idx="6">
                  <c:v>10013</c:v>
                </c:pt>
                <c:pt idx="7">
                  <c:v>11400</c:v>
                </c:pt>
                <c:pt idx="8">
                  <c:v>11420</c:v>
                </c:pt>
                <c:pt idx="9">
                  <c:v>13003</c:v>
                </c:pt>
                <c:pt idx="10">
                  <c:v>13524</c:v>
                </c:pt>
                <c:pt idx="11">
                  <c:v>13555</c:v>
                </c:pt>
                <c:pt idx="12">
                  <c:v>13724</c:v>
                </c:pt>
                <c:pt idx="13">
                  <c:v>13796</c:v>
                </c:pt>
                <c:pt idx="14">
                  <c:v>14043</c:v>
                </c:pt>
                <c:pt idx="15">
                  <c:v>14051</c:v>
                </c:pt>
                <c:pt idx="16">
                  <c:v>14740</c:v>
                </c:pt>
                <c:pt idx="17">
                  <c:v>15426</c:v>
                </c:pt>
                <c:pt idx="18">
                  <c:v>15373</c:v>
                </c:pt>
                <c:pt idx="19">
                  <c:v>15384</c:v>
                </c:pt>
                <c:pt idx="20">
                  <c:v>16127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7F-4402-ADA3-CAE3B64FE1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1.2999999999999999E-3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5.7999999999999996E-3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1.9E-3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1.2999999999999999E-3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5.7999999999999996E-3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1.9E-3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-908</c:v>
                </c:pt>
                <c:pt idx="1">
                  <c:v>-613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9784</c:v>
                </c:pt>
                <c:pt idx="6">
                  <c:v>10013</c:v>
                </c:pt>
                <c:pt idx="7">
                  <c:v>11400</c:v>
                </c:pt>
                <c:pt idx="8">
                  <c:v>11420</c:v>
                </c:pt>
                <c:pt idx="9">
                  <c:v>13003</c:v>
                </c:pt>
                <c:pt idx="10">
                  <c:v>13524</c:v>
                </c:pt>
                <c:pt idx="11">
                  <c:v>13555</c:v>
                </c:pt>
                <c:pt idx="12">
                  <c:v>13724</c:v>
                </c:pt>
                <c:pt idx="13">
                  <c:v>13796</c:v>
                </c:pt>
                <c:pt idx="14">
                  <c:v>14043</c:v>
                </c:pt>
                <c:pt idx="15">
                  <c:v>14051</c:v>
                </c:pt>
                <c:pt idx="16">
                  <c:v>14740</c:v>
                </c:pt>
                <c:pt idx="17">
                  <c:v>15426</c:v>
                </c:pt>
                <c:pt idx="18">
                  <c:v>15373</c:v>
                </c:pt>
                <c:pt idx="19">
                  <c:v>15384</c:v>
                </c:pt>
                <c:pt idx="20">
                  <c:v>16127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7F-4402-ADA3-CAE3B64FE1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-908</c:v>
                </c:pt>
                <c:pt idx="1">
                  <c:v>-613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9784</c:v>
                </c:pt>
                <c:pt idx="6">
                  <c:v>10013</c:v>
                </c:pt>
                <c:pt idx="7">
                  <c:v>11400</c:v>
                </c:pt>
                <c:pt idx="8">
                  <c:v>11420</c:v>
                </c:pt>
                <c:pt idx="9">
                  <c:v>13003</c:v>
                </c:pt>
                <c:pt idx="10">
                  <c:v>13524</c:v>
                </c:pt>
                <c:pt idx="11">
                  <c:v>13555</c:v>
                </c:pt>
                <c:pt idx="12">
                  <c:v>13724</c:v>
                </c:pt>
                <c:pt idx="13">
                  <c:v>13796</c:v>
                </c:pt>
                <c:pt idx="14">
                  <c:v>14043</c:v>
                </c:pt>
                <c:pt idx="15">
                  <c:v>14051</c:v>
                </c:pt>
                <c:pt idx="16">
                  <c:v>14740</c:v>
                </c:pt>
                <c:pt idx="17">
                  <c:v>15426</c:v>
                </c:pt>
                <c:pt idx="18">
                  <c:v>15373</c:v>
                </c:pt>
                <c:pt idx="19">
                  <c:v>15384</c:v>
                </c:pt>
                <c:pt idx="20">
                  <c:v>16127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6">
                  <c:v>0.18418800917095041</c:v>
                </c:pt>
                <c:pt idx="7">
                  <c:v>0.20040255762828504</c:v>
                </c:pt>
                <c:pt idx="8">
                  <c:v>0.20063636510423796</c:v>
                </c:pt>
                <c:pt idx="9">
                  <c:v>0.2191422268259112</c:v>
                </c:pt>
                <c:pt idx="10">
                  <c:v>0.22523291157448463</c:v>
                </c:pt>
                <c:pt idx="11">
                  <c:v>0.22559531316221165</c:v>
                </c:pt>
                <c:pt idx="12">
                  <c:v>0.22757098633401379</c:v>
                </c:pt>
                <c:pt idx="13">
                  <c:v>0.22841269324744426</c:v>
                </c:pt>
                <c:pt idx="14">
                  <c:v>0.23130021557546276</c:v>
                </c:pt>
                <c:pt idx="15">
                  <c:v>0.23139373856584394</c:v>
                </c:pt>
                <c:pt idx="16">
                  <c:v>0.23944840611242185</c:v>
                </c:pt>
                <c:pt idx="17">
                  <c:v>0.24746800253760684</c:v>
                </c:pt>
                <c:pt idx="18">
                  <c:v>0.24684841272633162</c:v>
                </c:pt>
                <c:pt idx="19">
                  <c:v>0.24697700683810572</c:v>
                </c:pt>
                <c:pt idx="20">
                  <c:v>0.25566295456975652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7F-4402-ADA3-CAE3B64FE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250680"/>
        <c:axId val="1"/>
      </c:scatterChart>
      <c:valAx>
        <c:axId val="715250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5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74161216474984"/>
          <c:y val="0.92073298764483702"/>
          <c:w val="0.6211000222297621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219075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5F8AC00-3128-1031-8C71-1B7DF07AA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172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bav-astro.de/sfs/BAVM_link.php?BAVMnr=212" TargetMode="External"/><Relationship Id="rId11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6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25</v>
      </c>
      <c r="B2" t="s">
        <v>29</v>
      </c>
    </row>
    <row r="3" spans="1:6" ht="13.5" thickBot="1" x14ac:dyDescent="0.25"/>
    <row r="4" spans="1:6" ht="14.25" thickTop="1" thickBot="1" x14ac:dyDescent="0.25">
      <c r="A4" s="6" t="s">
        <v>1</v>
      </c>
      <c r="C4" s="3">
        <v>34152.555</v>
      </c>
      <c r="D4" s="4">
        <v>1.5451538</v>
      </c>
    </row>
    <row r="5" spans="1:6" ht="13.5" thickTop="1" x14ac:dyDescent="0.2">
      <c r="A5" s="13" t="s">
        <v>33</v>
      </c>
      <c r="B5" s="14"/>
      <c r="C5" s="15">
        <v>-9.5</v>
      </c>
      <c r="D5" s="14" t="s">
        <v>34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34152.555</v>
      </c>
    </row>
    <row r="8" spans="1:6" x14ac:dyDescent="0.2">
      <c r="A8" t="s">
        <v>4</v>
      </c>
      <c r="C8">
        <f>+D4</f>
        <v>1.5451538</v>
      </c>
    </row>
    <row r="9" spans="1:6" x14ac:dyDescent="0.2">
      <c r="A9" s="29" t="s">
        <v>41</v>
      </c>
      <c r="B9" s="30">
        <v>27</v>
      </c>
      <c r="C9" s="27" t="str">
        <f>"F"&amp;B9</f>
        <v>F27</v>
      </c>
      <c r="D9" s="28" t="str">
        <f>"G"&amp;B9</f>
        <v>G27</v>
      </c>
    </row>
    <row r="10" spans="1:6" ht="13.5" thickBot="1" x14ac:dyDescent="0.25">
      <c r="A10" s="14"/>
      <c r="B10" s="14"/>
      <c r="C10" s="5" t="s">
        <v>21</v>
      </c>
      <c r="D10" s="5" t="s">
        <v>22</v>
      </c>
      <c r="E10" s="14"/>
    </row>
    <row r="11" spans="1:6" x14ac:dyDescent="0.2">
      <c r="A11" s="14" t="s">
        <v>17</v>
      </c>
      <c r="B11" s="14"/>
      <c r="C11" s="26">
        <f ca="1">INTERCEPT(INDIRECT($D$9):G992,INDIRECT($C$9):F992)</f>
        <v>6.7132296335123465E-2</v>
      </c>
      <c r="D11" s="16"/>
      <c r="E11" s="14"/>
    </row>
    <row r="12" spans="1:6" x14ac:dyDescent="0.2">
      <c r="A12" s="14" t="s">
        <v>18</v>
      </c>
      <c r="B12" s="14"/>
      <c r="C12" s="26">
        <f ca="1">SLOPE(INDIRECT($D$9):G992,INDIRECT($C$9):F992)</f>
        <v>1.1690373797645753E-5</v>
      </c>
      <c r="D12" s="16"/>
      <c r="E12" s="14"/>
    </row>
    <row r="13" spans="1:6" x14ac:dyDescent="0.2">
      <c r="A13" s="14" t="s">
        <v>20</v>
      </c>
      <c r="B13" s="14"/>
      <c r="C13" s="16" t="s">
        <v>15</v>
      </c>
    </row>
    <row r="14" spans="1:6" x14ac:dyDescent="0.2">
      <c r="A14" s="14"/>
      <c r="B14" s="14"/>
      <c r="C14" s="14"/>
    </row>
    <row r="15" spans="1:6" x14ac:dyDescent="0.2">
      <c r="A15" s="17" t="s">
        <v>19</v>
      </c>
      <c r="B15" s="14"/>
      <c r="C15" s="18">
        <f ca="1">(C7+C11)+(C8+C12)*INT(MAX(F21:F3533))</f>
        <v>59071.505995554566</v>
      </c>
      <c r="E15" s="19" t="s">
        <v>39</v>
      </c>
      <c r="F15" s="15">
        <v>1</v>
      </c>
    </row>
    <row r="16" spans="1:6" x14ac:dyDescent="0.2">
      <c r="A16" s="21" t="s">
        <v>5</v>
      </c>
      <c r="B16" s="14"/>
      <c r="C16" s="22">
        <f ca="1">+C8+C12</f>
        <v>1.5451654903737977</v>
      </c>
      <c r="E16" s="19" t="s">
        <v>35</v>
      </c>
      <c r="F16" s="20">
        <f ca="1">NOW()+15018.5+$C$5/24</f>
        <v>59961.589174305554</v>
      </c>
    </row>
    <row r="17" spans="1:17" ht="13.5" thickBot="1" x14ac:dyDescent="0.25">
      <c r="A17" s="19" t="s">
        <v>31</v>
      </c>
      <c r="B17" s="14"/>
      <c r="C17" s="14">
        <f>COUNT(C21:C2191)</f>
        <v>21</v>
      </c>
      <c r="E17" s="19" t="s">
        <v>40</v>
      </c>
      <c r="F17" s="20">
        <f ca="1">ROUND(2*(F16-$C$7)/$C$8,0)/2+F15</f>
        <v>16704</v>
      </c>
    </row>
    <row r="18" spans="1:17" ht="14.25" thickTop="1" thickBot="1" x14ac:dyDescent="0.25">
      <c r="A18" s="21" t="s">
        <v>6</v>
      </c>
      <c r="B18" s="14"/>
      <c r="C18" s="24">
        <f ca="1">+C15</f>
        <v>59071.505995554566</v>
      </c>
      <c r="D18" s="25">
        <f ca="1">+C16</f>
        <v>1.5451654903737977</v>
      </c>
      <c r="E18" s="19" t="s">
        <v>36</v>
      </c>
      <c r="F18" s="28">
        <f ca="1">ROUND(2*(F16-$C$15)/$C$16,0)/2+F15</f>
        <v>577</v>
      </c>
    </row>
    <row r="19" spans="1:17" ht="13.5" thickTop="1" x14ac:dyDescent="0.2">
      <c r="E19" s="19" t="s">
        <v>37</v>
      </c>
      <c r="F19" s="23">
        <f ca="1">+$C$15+$C$16*F18-15018.5-$C$5/24</f>
        <v>44944.962316833582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54</v>
      </c>
      <c r="I20" s="8" t="s">
        <v>57</v>
      </c>
      <c r="J20" s="8" t="s">
        <v>51</v>
      </c>
      <c r="K20" s="8" t="s">
        <v>49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 x14ac:dyDescent="0.2">
      <c r="A21" s="55" t="s">
        <v>63</v>
      </c>
      <c r="B21" s="57" t="s">
        <v>43</v>
      </c>
      <c r="C21" s="56">
        <v>32749.562000000002</v>
      </c>
      <c r="D21" s="56" t="s">
        <v>57</v>
      </c>
      <c r="E21">
        <f t="shared" ref="E21:E37" si="0">+(C21-C$7)/C$8</f>
        <v>-907.99569596243339</v>
      </c>
      <c r="F21">
        <f t="shared" ref="F21:F38" si="1">ROUND(2*E21,0)/2</f>
        <v>-908</v>
      </c>
      <c r="G21">
        <f t="shared" ref="G21:G37" si="2">+C21-(C$7+F21*C$8)</f>
        <v>6.6504000023996923E-3</v>
      </c>
      <c r="I21">
        <f>+G21</f>
        <v>6.6504000023996923E-3</v>
      </c>
      <c r="Q21" s="2">
        <f t="shared" ref="Q21:Q37" si="3">+C21-15018.5</f>
        <v>17731.062000000002</v>
      </c>
    </row>
    <row r="22" spans="1:17" x14ac:dyDescent="0.2">
      <c r="A22" s="55" t="s">
        <v>63</v>
      </c>
      <c r="B22" s="57" t="s">
        <v>43</v>
      </c>
      <c r="C22" s="56">
        <v>33205.381000000001</v>
      </c>
      <c r="D22" s="56" t="s">
        <v>57</v>
      </c>
      <c r="E22">
        <f t="shared" si="0"/>
        <v>-612.99658325274743</v>
      </c>
      <c r="F22">
        <f t="shared" si="1"/>
        <v>-613</v>
      </c>
      <c r="G22">
        <f t="shared" si="2"/>
        <v>5.2794000002904795E-3</v>
      </c>
      <c r="I22">
        <f>+G22</f>
        <v>5.2794000002904795E-3</v>
      </c>
      <c r="Q22" s="2">
        <f t="shared" si="3"/>
        <v>18186.881000000001</v>
      </c>
    </row>
    <row r="23" spans="1:17" x14ac:dyDescent="0.2">
      <c r="A23" s="55" t="s">
        <v>63</v>
      </c>
      <c r="B23" s="57" t="s">
        <v>43</v>
      </c>
      <c r="C23" s="56">
        <v>34152.553</v>
      </c>
      <c r="D23" s="56" t="s">
        <v>57</v>
      </c>
      <c r="E23">
        <f t="shared" si="0"/>
        <v>-1.2943695316333258E-3</v>
      </c>
      <c r="F23">
        <f t="shared" si="1"/>
        <v>0</v>
      </c>
      <c r="G23">
        <f t="shared" si="2"/>
        <v>-2.0000000004074536E-3</v>
      </c>
      <c r="I23">
        <f>+G23</f>
        <v>-2.0000000004074536E-3</v>
      </c>
      <c r="Q23" s="2">
        <f t="shared" si="3"/>
        <v>19134.053</v>
      </c>
    </row>
    <row r="24" spans="1:17" x14ac:dyDescent="0.2">
      <c r="A24" t="s">
        <v>13</v>
      </c>
      <c r="C24" s="11">
        <f>+C7</f>
        <v>34152.555</v>
      </c>
      <c r="D24" s="11" t="s">
        <v>15</v>
      </c>
      <c r="E24">
        <f t="shared" si="0"/>
        <v>0</v>
      </c>
      <c r="F24">
        <f t="shared" si="1"/>
        <v>0</v>
      </c>
      <c r="G24">
        <f t="shared" si="2"/>
        <v>0</v>
      </c>
      <c r="I24">
        <f>+G24</f>
        <v>0</v>
      </c>
      <c r="Q24" s="2">
        <f t="shared" si="3"/>
        <v>19134.055</v>
      </c>
    </row>
    <row r="25" spans="1:17" x14ac:dyDescent="0.2">
      <c r="A25" s="55" t="s">
        <v>63</v>
      </c>
      <c r="B25" s="57" t="s">
        <v>43</v>
      </c>
      <c r="C25" s="56">
        <v>35101.273000000001</v>
      </c>
      <c r="D25" s="56" t="s">
        <v>57</v>
      </c>
      <c r="E25">
        <f t="shared" si="0"/>
        <v>613.9958365309659</v>
      </c>
      <c r="F25">
        <f t="shared" si="1"/>
        <v>614</v>
      </c>
      <c r="G25">
        <f t="shared" si="2"/>
        <v>-6.4331999965361319E-3</v>
      </c>
      <c r="I25">
        <f>+G25</f>
        <v>-6.4331999965361319E-3</v>
      </c>
      <c r="Q25" s="2">
        <f t="shared" si="3"/>
        <v>20082.773000000001</v>
      </c>
    </row>
    <row r="26" spans="1:17" x14ac:dyDescent="0.2">
      <c r="A26" s="9" t="s">
        <v>30</v>
      </c>
      <c r="B26" s="10"/>
      <c r="C26" s="11">
        <v>49270.510999999999</v>
      </c>
      <c r="D26" s="12">
        <v>3.0000000000000001E-3</v>
      </c>
      <c r="E26">
        <f t="shared" si="0"/>
        <v>9784.1108114933268</v>
      </c>
      <c r="F26">
        <f t="shared" si="1"/>
        <v>9784</v>
      </c>
      <c r="G26">
        <f t="shared" si="2"/>
        <v>0.17122079999535345</v>
      </c>
      <c r="J26">
        <f>+G26</f>
        <v>0.17122079999535345</v>
      </c>
      <c r="Q26" s="2">
        <f t="shared" si="3"/>
        <v>34252.010999999999</v>
      </c>
    </row>
    <row r="27" spans="1:17" x14ac:dyDescent="0.2">
      <c r="A27" s="9" t="s">
        <v>30</v>
      </c>
      <c r="B27" s="10"/>
      <c r="C27" s="12">
        <v>49624.353900000002</v>
      </c>
      <c r="D27" s="12">
        <v>5.0000000000000001E-4</v>
      </c>
      <c r="E27">
        <f t="shared" si="0"/>
        <v>10013.112545819064</v>
      </c>
      <c r="F27">
        <f t="shared" si="1"/>
        <v>10013</v>
      </c>
      <c r="G27">
        <f t="shared" si="2"/>
        <v>0.17390059999888763</v>
      </c>
      <c r="J27">
        <f>+G27</f>
        <v>0.17390059999888763</v>
      </c>
      <c r="O27">
        <f t="shared" ref="O27:O37" ca="1" si="4">+C$11+C$12*$F27</f>
        <v>0.18418800917095041</v>
      </c>
      <c r="Q27" s="2">
        <f t="shared" si="3"/>
        <v>34605.853900000002</v>
      </c>
    </row>
    <row r="28" spans="1:17" x14ac:dyDescent="0.2">
      <c r="A28" s="9" t="s">
        <v>30</v>
      </c>
      <c r="B28" s="10"/>
      <c r="C28" s="12">
        <v>51767.508000000002</v>
      </c>
      <c r="D28" s="12">
        <v>4.0000000000000002E-4</v>
      </c>
      <c r="E28">
        <f t="shared" si="0"/>
        <v>11400.129229854012</v>
      </c>
      <c r="F28">
        <f t="shared" si="1"/>
        <v>11400</v>
      </c>
      <c r="G28">
        <f t="shared" si="2"/>
        <v>0.1996800000051735</v>
      </c>
      <c r="J28">
        <f>+G28</f>
        <v>0.1996800000051735</v>
      </c>
      <c r="O28">
        <f t="shared" ca="1" si="4"/>
        <v>0.20040255762828504</v>
      </c>
      <c r="Q28" s="2">
        <f t="shared" si="3"/>
        <v>36749.008000000002</v>
      </c>
    </row>
    <row r="29" spans="1:17" x14ac:dyDescent="0.2">
      <c r="A29" s="31" t="s">
        <v>30</v>
      </c>
      <c r="B29" s="32"/>
      <c r="C29" s="33">
        <v>51798.412499999999</v>
      </c>
      <c r="D29" s="33">
        <v>8.0000000000000004E-4</v>
      </c>
      <c r="E29">
        <f t="shared" si="0"/>
        <v>11420.130151445117</v>
      </c>
      <c r="F29">
        <f t="shared" si="1"/>
        <v>11420</v>
      </c>
      <c r="G29">
        <f t="shared" si="2"/>
        <v>0.20110399999975925</v>
      </c>
      <c r="J29">
        <f>+G29</f>
        <v>0.20110399999975925</v>
      </c>
      <c r="O29">
        <f t="shared" ca="1" si="4"/>
        <v>0.20063636510423796</v>
      </c>
      <c r="Q29" s="2">
        <f t="shared" si="3"/>
        <v>36779.912499999999</v>
      </c>
    </row>
    <row r="30" spans="1:17" x14ac:dyDescent="0.2">
      <c r="A30" s="34" t="s">
        <v>38</v>
      </c>
      <c r="B30" s="35"/>
      <c r="C30" s="34">
        <v>54244.417000000001</v>
      </c>
      <c r="D30" s="34">
        <v>1.2999999999999999E-3</v>
      </c>
      <c r="E30">
        <f t="shared" si="0"/>
        <v>13003.14700064162</v>
      </c>
      <c r="F30">
        <f t="shared" si="1"/>
        <v>13003</v>
      </c>
      <c r="G30">
        <f t="shared" si="2"/>
        <v>0.22713859999930719</v>
      </c>
      <c r="J30">
        <f>+G30</f>
        <v>0.22713859999930719</v>
      </c>
      <c r="O30">
        <f t="shared" ca="1" si="4"/>
        <v>0.2191422268259112</v>
      </c>
      <c r="Q30" s="2">
        <f t="shared" si="3"/>
        <v>39225.917000000001</v>
      </c>
    </row>
    <row r="31" spans="1:17" x14ac:dyDescent="0.2">
      <c r="A31" s="55" t="s">
        <v>99</v>
      </c>
      <c r="B31" s="57" t="s">
        <v>43</v>
      </c>
      <c r="C31" s="56">
        <v>55049.445699999997</v>
      </c>
      <c r="D31" s="56" t="s">
        <v>57</v>
      </c>
      <c r="E31">
        <f t="shared" si="0"/>
        <v>13524.149311220666</v>
      </c>
      <c r="F31">
        <f t="shared" si="1"/>
        <v>13524</v>
      </c>
      <c r="G31">
        <f t="shared" si="2"/>
        <v>0.23070879999431781</v>
      </c>
      <c r="K31">
        <f>+G31</f>
        <v>0.23070879999431781</v>
      </c>
      <c r="O31">
        <f t="shared" ca="1" si="4"/>
        <v>0.22523291157448463</v>
      </c>
      <c r="Q31" s="2">
        <f t="shared" si="3"/>
        <v>40030.945699999997</v>
      </c>
    </row>
    <row r="32" spans="1:17" x14ac:dyDescent="0.2">
      <c r="A32" s="55" t="s">
        <v>99</v>
      </c>
      <c r="B32" s="57" t="s">
        <v>43</v>
      </c>
      <c r="C32" s="56">
        <v>55097.345699999998</v>
      </c>
      <c r="D32" s="56" t="s">
        <v>57</v>
      </c>
      <c r="E32">
        <f t="shared" si="0"/>
        <v>13555.149461496971</v>
      </c>
      <c r="F32">
        <f t="shared" si="1"/>
        <v>13555</v>
      </c>
      <c r="G32">
        <f t="shared" si="2"/>
        <v>0.23094099999434547</v>
      </c>
      <c r="K32">
        <f>+G32</f>
        <v>0.23094099999434547</v>
      </c>
      <c r="O32">
        <f t="shared" ca="1" si="4"/>
        <v>0.22559531316221165</v>
      </c>
      <c r="Q32" s="2">
        <f t="shared" si="3"/>
        <v>40078.845699999998</v>
      </c>
    </row>
    <row r="33" spans="1:17" x14ac:dyDescent="0.2">
      <c r="A33" s="36" t="s">
        <v>44</v>
      </c>
      <c r="B33" s="37" t="s">
        <v>43</v>
      </c>
      <c r="C33" s="36">
        <v>55358.476600000002</v>
      </c>
      <c r="D33" s="36">
        <v>5.7999999999999996E-3</v>
      </c>
      <c r="E33">
        <f t="shared" si="0"/>
        <v>13724.149401826537</v>
      </c>
      <c r="F33">
        <f t="shared" si="1"/>
        <v>13724</v>
      </c>
      <c r="G33">
        <f t="shared" si="2"/>
        <v>0.23084880000533303</v>
      </c>
      <c r="J33">
        <f>+G33</f>
        <v>0.23084880000533303</v>
      </c>
      <c r="O33">
        <f t="shared" ca="1" si="4"/>
        <v>0.22757098633401379</v>
      </c>
      <c r="Q33" s="2">
        <f t="shared" si="3"/>
        <v>40339.976600000002</v>
      </c>
    </row>
    <row r="34" spans="1:17" x14ac:dyDescent="0.2">
      <c r="A34" s="38" t="s">
        <v>42</v>
      </c>
      <c r="B34" s="39" t="s">
        <v>43</v>
      </c>
      <c r="C34" s="34">
        <v>55469.726000000002</v>
      </c>
      <c r="D34" s="34">
        <v>2.0000000000000001E-4</v>
      </c>
      <c r="E34">
        <f t="shared" si="0"/>
        <v>13796.148318698113</v>
      </c>
      <c r="F34">
        <f t="shared" si="1"/>
        <v>13796</v>
      </c>
      <c r="G34">
        <f t="shared" si="2"/>
        <v>0.22917520000191871</v>
      </c>
      <c r="K34">
        <f t="shared" ref="K34:K40" si="5">+G34</f>
        <v>0.22917520000191871</v>
      </c>
      <c r="O34">
        <f t="shared" ca="1" si="4"/>
        <v>0.22841269324744426</v>
      </c>
      <c r="Q34" s="2">
        <f t="shared" si="3"/>
        <v>40451.226000000002</v>
      </c>
    </row>
    <row r="35" spans="1:17" x14ac:dyDescent="0.2">
      <c r="A35" s="55" t="s">
        <v>119</v>
      </c>
      <c r="B35" s="57" t="s">
        <v>43</v>
      </c>
      <c r="C35" s="56">
        <v>55851.3819</v>
      </c>
      <c r="D35" s="56" t="s">
        <v>57</v>
      </c>
      <c r="E35">
        <f t="shared" si="0"/>
        <v>14043.15020291184</v>
      </c>
      <c r="F35">
        <f t="shared" si="1"/>
        <v>14043</v>
      </c>
      <c r="G35">
        <f t="shared" si="2"/>
        <v>0.23208660000091186</v>
      </c>
      <c r="K35">
        <f t="shared" si="5"/>
        <v>0.23208660000091186</v>
      </c>
      <c r="O35">
        <f t="shared" ca="1" si="4"/>
        <v>0.23130021557546276</v>
      </c>
      <c r="Q35" s="2">
        <f t="shared" si="3"/>
        <v>40832.8819</v>
      </c>
    </row>
    <row r="36" spans="1:17" x14ac:dyDescent="0.2">
      <c r="A36" s="36" t="s">
        <v>45</v>
      </c>
      <c r="B36" s="37" t="s">
        <v>43</v>
      </c>
      <c r="C36" s="36">
        <v>55863.743000000002</v>
      </c>
      <c r="D36" s="36">
        <v>6.9999999999999999E-4</v>
      </c>
      <c r="E36">
        <f t="shared" si="0"/>
        <v>14051.150118518946</v>
      </c>
      <c r="F36">
        <f t="shared" si="1"/>
        <v>14051</v>
      </c>
      <c r="G36">
        <f t="shared" si="2"/>
        <v>0.23195620000478812</v>
      </c>
      <c r="K36">
        <f t="shared" si="5"/>
        <v>0.23195620000478812</v>
      </c>
      <c r="O36">
        <f t="shared" ca="1" si="4"/>
        <v>0.23139373856584394</v>
      </c>
      <c r="Q36" s="2">
        <f t="shared" si="3"/>
        <v>40845.243000000002</v>
      </c>
    </row>
    <row r="37" spans="1:17" x14ac:dyDescent="0.2">
      <c r="A37" s="40" t="s">
        <v>46</v>
      </c>
      <c r="B37" s="41"/>
      <c r="C37" s="40">
        <v>56928.359299999996</v>
      </c>
      <c r="D37" s="40">
        <v>1.9E-3</v>
      </c>
      <c r="E37">
        <f t="shared" si="0"/>
        <v>14740.153569178678</v>
      </c>
      <c r="F37">
        <f t="shared" si="1"/>
        <v>14740</v>
      </c>
      <c r="G37">
        <f t="shared" si="2"/>
        <v>0.23728799999662442</v>
      </c>
      <c r="K37">
        <f t="shared" si="5"/>
        <v>0.23728799999662442</v>
      </c>
      <c r="O37">
        <f t="shared" ca="1" si="4"/>
        <v>0.23944840611242185</v>
      </c>
      <c r="Q37" s="2">
        <f t="shared" si="3"/>
        <v>41909.859299999996</v>
      </c>
    </row>
    <row r="38" spans="1:17" x14ac:dyDescent="0.2">
      <c r="A38" s="58" t="s">
        <v>0</v>
      </c>
      <c r="B38" s="59" t="s">
        <v>43</v>
      </c>
      <c r="C38" s="60">
        <v>57988.347600000001</v>
      </c>
      <c r="D38" s="60">
        <v>2.9999999999999997E-4</v>
      </c>
      <c r="E38">
        <f>+(C38-C$7)/C$8</f>
        <v>15426.161848742824</v>
      </c>
      <c r="F38">
        <f t="shared" si="1"/>
        <v>15426</v>
      </c>
      <c r="G38">
        <f>+C38-(C$7+F38*C$8)</f>
        <v>0.25008119999984046</v>
      </c>
      <c r="K38">
        <f t="shared" si="5"/>
        <v>0.25008119999984046</v>
      </c>
      <c r="O38">
        <f ca="1">+C$11+C$12*$F38</f>
        <v>0.24746800253760684</v>
      </c>
      <c r="Q38" s="2">
        <f>+C38-15018.5</f>
        <v>42969.847600000001</v>
      </c>
    </row>
    <row r="39" spans="1:17" x14ac:dyDescent="0.2">
      <c r="A39" s="61" t="s">
        <v>130</v>
      </c>
      <c r="B39" s="62" t="s">
        <v>43</v>
      </c>
      <c r="C39" s="63">
        <v>57906.450960000046</v>
      </c>
      <c r="D39" s="63">
        <v>2.0000000000000001E-4</v>
      </c>
      <c r="E39">
        <f>+(C39-C$7)/C$8</f>
        <v>15373.159590974079</v>
      </c>
      <c r="F39">
        <f>ROUND(2*E39,0)/2</f>
        <v>15373</v>
      </c>
      <c r="G39">
        <f>+C39-(C$7+F39*C$8)</f>
        <v>0.24659260004409589</v>
      </c>
      <c r="K39">
        <f t="shared" si="5"/>
        <v>0.24659260004409589</v>
      </c>
      <c r="O39">
        <f ca="1">+C$11+C$12*$F39</f>
        <v>0.24684841272633162</v>
      </c>
      <c r="Q39" s="2">
        <f>+C39-15018.5</f>
        <v>42887.950960000046</v>
      </c>
    </row>
    <row r="40" spans="1:17" x14ac:dyDescent="0.2">
      <c r="A40" s="61" t="s">
        <v>130</v>
      </c>
      <c r="B40" s="62" t="s">
        <v>43</v>
      </c>
      <c r="C40" s="63">
        <v>57923.448069999926</v>
      </c>
      <c r="D40" s="63">
        <v>1E-4</v>
      </c>
      <c r="E40">
        <f>+(C40-C$7)/C$8</f>
        <v>15384.159861626671</v>
      </c>
      <c r="F40">
        <f>ROUND(2*E40,0)/2</f>
        <v>15384</v>
      </c>
      <c r="G40">
        <f>+C40-(C$7+F40*C$8)</f>
        <v>0.24701079992519226</v>
      </c>
      <c r="K40">
        <f t="shared" si="5"/>
        <v>0.24701079992519226</v>
      </c>
      <c r="O40">
        <f ca="1">+C$11+C$12*$F40</f>
        <v>0.24697700683810572</v>
      </c>
      <c r="Q40" s="2">
        <f>+C40-15018.5</f>
        <v>42904.948069999926</v>
      </c>
    </row>
    <row r="41" spans="1:17" x14ac:dyDescent="0.2">
      <c r="A41" s="64" t="s">
        <v>131</v>
      </c>
      <c r="B41" s="65" t="s">
        <v>43</v>
      </c>
      <c r="C41" s="66">
        <v>59071.492100000003</v>
      </c>
      <c r="D41" s="64">
        <v>1.2999999999999999E-3</v>
      </c>
      <c r="E41">
        <f>+(C41-C$7)/C$8</f>
        <v>16127.15646817812</v>
      </c>
      <c r="F41">
        <f>ROUND(2*E41,0)/2</f>
        <v>16127</v>
      </c>
      <c r="G41">
        <f>+C41-(C$7+F41*C$8)</f>
        <v>0.24176740000257269</v>
      </c>
      <c r="K41">
        <f t="shared" ref="K41" si="6">+G41</f>
        <v>0.24176740000257269</v>
      </c>
      <c r="O41">
        <f ca="1">+C$11+C$12*$F41</f>
        <v>0.25566295456975652</v>
      </c>
      <c r="Q41" s="2">
        <f>+C41-15018.5</f>
        <v>44052.992100000003</v>
      </c>
    </row>
    <row r="42" spans="1:17" x14ac:dyDescent="0.2">
      <c r="C42" s="11"/>
      <c r="D42" s="11"/>
    </row>
    <row r="43" spans="1:17" x14ac:dyDescent="0.2">
      <c r="C43" s="11"/>
      <c r="D43" s="11"/>
    </row>
    <row r="44" spans="1:17" x14ac:dyDescent="0.2">
      <c r="C44" s="11"/>
      <c r="D44" s="11"/>
    </row>
    <row r="45" spans="1:17" x14ac:dyDescent="0.2">
      <c r="C45" s="11"/>
      <c r="D45" s="11"/>
    </row>
    <row r="46" spans="1:17" x14ac:dyDescent="0.2">
      <c r="C46" s="11"/>
      <c r="D46" s="11"/>
    </row>
    <row r="47" spans="1:17" x14ac:dyDescent="0.2">
      <c r="C47" s="11"/>
      <c r="D47" s="11"/>
    </row>
    <row r="48" spans="1:17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</sheetData>
  <protectedRanges>
    <protectedRange sqref="A39:D40" name="Range1"/>
  </protectedRanges>
  <phoneticPr fontId="8" type="noConversion"/>
  <hyperlinks>
    <hyperlink ref="H64020" r:id="rId1" display="http://vsolj.cetus-net.org/bulletin.html"/>
    <hyperlink ref="H64013" r:id="rId2" display="https://www.aavso.org/ejaavso"/>
    <hyperlink ref="I64020" r:id="rId3" display="http://vsolj.cetus-net.org/bulletin.html"/>
    <hyperlink ref="AQ57671" r:id="rId4" display="http://cdsbib.u-strasbg.fr/cgi-bin/cdsbib?1990RMxAA..21..381G"/>
    <hyperlink ref="H64017" r:id="rId5" display="https://www.aavso.org/ejaavso"/>
    <hyperlink ref="AP5035" r:id="rId6" display="http://cdsbib.u-strasbg.fr/cgi-bin/cdsbib?1990RMxAA..21..381G"/>
    <hyperlink ref="AP5038" r:id="rId7" display="http://cdsbib.u-strasbg.fr/cgi-bin/cdsbib?1990RMxAA..21..381G"/>
    <hyperlink ref="AP5036" r:id="rId8" display="http://cdsbib.u-strasbg.fr/cgi-bin/cdsbib?1990RMxAA..21..381G"/>
    <hyperlink ref="AP5020" r:id="rId9" display="http://cdsbib.u-strasbg.fr/cgi-bin/cdsbib?1990RMxAA..21..381G"/>
    <hyperlink ref="AQ5249" r:id="rId10" display="http://cdsbib.u-strasbg.fr/cgi-bin/cdsbib?1990RMxAA..21..381G"/>
    <hyperlink ref="AQ5253" r:id="rId11" display="http://cdsbib.u-strasbg.fr/cgi-bin/cdsbib?1990RMxAA..21..381G"/>
    <hyperlink ref="AQ64933" r:id="rId12" display="http://cdsbib.u-strasbg.fr/cgi-bin/cdsbib?1990RMxAA..21..381G"/>
    <hyperlink ref="I2141" r:id="rId13" display="http://vsolj.cetus-net.org/bulletin.html"/>
    <hyperlink ref="H2141" r:id="rId14" display="http://vsolj.cetus-net.org/bulletin.html"/>
    <hyperlink ref="AQ58" r:id="rId15" display="http://cdsbib.u-strasbg.fr/cgi-bin/cdsbib?1990RMxAA..21..381G"/>
    <hyperlink ref="AQ57" r:id="rId16" display="http://cdsbib.u-strasbg.fr/cgi-bin/cdsbib?1990RMxAA..21..381G"/>
    <hyperlink ref="AP3311" r:id="rId17" display="http://cdsbib.u-strasbg.fr/cgi-bin/cdsbib?1990RMxAA..21..381G"/>
    <hyperlink ref="AP3329" r:id="rId18" display="http://cdsbib.u-strasbg.fr/cgi-bin/cdsbib?1990RMxAA..21..381G"/>
    <hyperlink ref="AP3330" r:id="rId19" display="http://cdsbib.u-strasbg.fr/cgi-bin/cdsbib?1990RMxAA..21..381G"/>
    <hyperlink ref="AP332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7"/>
  <sheetViews>
    <sheetView topLeftCell="A4" workbookViewId="0">
      <selection activeCell="A20" sqref="A20:D26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2" t="s">
        <v>47</v>
      </c>
      <c r="I1" s="43" t="s">
        <v>48</v>
      </c>
      <c r="J1" s="44" t="s">
        <v>49</v>
      </c>
    </row>
    <row r="2" spans="1:16" x14ac:dyDescent="0.2">
      <c r="I2" s="45" t="s">
        <v>50</v>
      </c>
      <c r="J2" s="46" t="s">
        <v>51</v>
      </c>
    </row>
    <row r="3" spans="1:16" x14ac:dyDescent="0.2">
      <c r="A3" s="47" t="s">
        <v>52</v>
      </c>
      <c r="I3" s="45" t="s">
        <v>53</v>
      </c>
      <c r="J3" s="46" t="s">
        <v>54</v>
      </c>
    </row>
    <row r="4" spans="1:16" x14ac:dyDescent="0.2">
      <c r="I4" s="45" t="s">
        <v>55</v>
      </c>
      <c r="J4" s="46" t="s">
        <v>54</v>
      </c>
    </row>
    <row r="5" spans="1:16" ht="13.5" thickBot="1" x14ac:dyDescent="0.25">
      <c r="I5" s="48" t="s">
        <v>56</v>
      </c>
      <c r="J5" s="49" t="s">
        <v>57</v>
      </c>
    </row>
    <row r="10" spans="1:16" ht="13.5" thickBot="1" x14ac:dyDescent="0.25"/>
    <row r="11" spans="1:16" ht="12.75" customHeight="1" thickBot="1" x14ac:dyDescent="0.25">
      <c r="A11" s="11" t="str">
        <f t="shared" ref="A11:A26" si="0">P11</f>
        <v>BAVM 172 </v>
      </c>
      <c r="B11" s="16" t="str">
        <f t="shared" ref="B11:B26" si="1">IF(H11=INT(H11),"I","II")</f>
        <v>I</v>
      </c>
      <c r="C11" s="11">
        <f t="shared" ref="C11:C26" si="2">1*G11</f>
        <v>49270.510999999999</v>
      </c>
      <c r="D11" s="14" t="str">
        <f t="shared" ref="D11:D26" si="3">VLOOKUP(F11,I$1:J$5,2,FALSE)</f>
        <v>vis</v>
      </c>
      <c r="E11" s="50">
        <f>VLOOKUP(C11,Active!C$21:E$973,3,FALSE)</f>
        <v>9784.1108114933268</v>
      </c>
      <c r="F11" s="16" t="s">
        <v>56</v>
      </c>
      <c r="G11" s="14" t="str">
        <f t="shared" ref="G11:G26" si="4">MID(I11,3,LEN(I11)-3)</f>
        <v>49270.511</v>
      </c>
      <c r="H11" s="11">
        <f t="shared" ref="H11:H26" si="5">1*K11</f>
        <v>9784</v>
      </c>
      <c r="I11" s="51" t="s">
        <v>73</v>
      </c>
      <c r="J11" s="52" t="s">
        <v>74</v>
      </c>
      <c r="K11" s="51">
        <v>9784</v>
      </c>
      <c r="L11" s="51" t="s">
        <v>75</v>
      </c>
      <c r="M11" s="52" t="s">
        <v>76</v>
      </c>
      <c r="N11" s="52" t="s">
        <v>77</v>
      </c>
      <c r="O11" s="53" t="s">
        <v>78</v>
      </c>
      <c r="P11" s="54" t="s">
        <v>79</v>
      </c>
    </row>
    <row r="12" spans="1:16" ht="12.75" customHeight="1" thickBot="1" x14ac:dyDescent="0.25">
      <c r="A12" s="11" t="str">
        <f t="shared" si="0"/>
        <v>BAVM 172 </v>
      </c>
      <c r="B12" s="16" t="str">
        <f t="shared" si="1"/>
        <v>I</v>
      </c>
      <c r="C12" s="11">
        <f t="shared" si="2"/>
        <v>49624.353900000002</v>
      </c>
      <c r="D12" s="14" t="str">
        <f t="shared" si="3"/>
        <v>vis</v>
      </c>
      <c r="E12" s="50">
        <f>VLOOKUP(C12,Active!C$21:E$973,3,FALSE)</f>
        <v>10013.112545819064</v>
      </c>
      <c r="F12" s="16" t="s">
        <v>56</v>
      </c>
      <c r="G12" s="14" t="str">
        <f t="shared" si="4"/>
        <v>49624.3539</v>
      </c>
      <c r="H12" s="11">
        <f t="shared" si="5"/>
        <v>10013</v>
      </c>
      <c r="I12" s="51" t="s">
        <v>80</v>
      </c>
      <c r="J12" s="52" t="s">
        <v>81</v>
      </c>
      <c r="K12" s="51">
        <v>10013</v>
      </c>
      <c r="L12" s="51" t="s">
        <v>82</v>
      </c>
      <c r="M12" s="52" t="s">
        <v>76</v>
      </c>
      <c r="N12" s="52" t="s">
        <v>77</v>
      </c>
      <c r="O12" s="53" t="s">
        <v>78</v>
      </c>
      <c r="P12" s="54" t="s">
        <v>79</v>
      </c>
    </row>
    <row r="13" spans="1:16" ht="12.75" customHeight="1" thickBot="1" x14ac:dyDescent="0.25">
      <c r="A13" s="11" t="str">
        <f t="shared" si="0"/>
        <v>BAVM 172 </v>
      </c>
      <c r="B13" s="16" t="str">
        <f t="shared" si="1"/>
        <v>I</v>
      </c>
      <c r="C13" s="11">
        <f t="shared" si="2"/>
        <v>51767.508000000002</v>
      </c>
      <c r="D13" s="14" t="str">
        <f t="shared" si="3"/>
        <v>vis</v>
      </c>
      <c r="E13" s="50">
        <f>VLOOKUP(C13,Active!C$21:E$973,3,FALSE)</f>
        <v>11400.129229854012</v>
      </c>
      <c r="F13" s="16" t="s">
        <v>56</v>
      </c>
      <c r="G13" s="14" t="str">
        <f t="shared" si="4"/>
        <v>51767.5080</v>
      </c>
      <c r="H13" s="11">
        <f t="shared" si="5"/>
        <v>11400</v>
      </c>
      <c r="I13" s="51" t="s">
        <v>83</v>
      </c>
      <c r="J13" s="52" t="s">
        <v>84</v>
      </c>
      <c r="K13" s="51">
        <v>11400</v>
      </c>
      <c r="L13" s="51" t="s">
        <v>85</v>
      </c>
      <c r="M13" s="52" t="s">
        <v>76</v>
      </c>
      <c r="N13" s="52" t="s">
        <v>77</v>
      </c>
      <c r="O13" s="53" t="s">
        <v>78</v>
      </c>
      <c r="P13" s="54" t="s">
        <v>79</v>
      </c>
    </row>
    <row r="14" spans="1:16" ht="12.75" customHeight="1" thickBot="1" x14ac:dyDescent="0.25">
      <c r="A14" s="11" t="str">
        <f t="shared" si="0"/>
        <v>BAVM 172 </v>
      </c>
      <c r="B14" s="16" t="str">
        <f t="shared" si="1"/>
        <v>I</v>
      </c>
      <c r="C14" s="11">
        <f t="shared" si="2"/>
        <v>51798.412499999999</v>
      </c>
      <c r="D14" s="14" t="str">
        <f t="shared" si="3"/>
        <v>vis</v>
      </c>
      <c r="E14" s="50">
        <f>VLOOKUP(C14,Active!C$21:E$973,3,FALSE)</f>
        <v>11420.130151445117</v>
      </c>
      <c r="F14" s="16" t="s">
        <v>56</v>
      </c>
      <c r="G14" s="14" t="str">
        <f t="shared" si="4"/>
        <v>51798.4125</v>
      </c>
      <c r="H14" s="11">
        <f t="shared" si="5"/>
        <v>11420</v>
      </c>
      <c r="I14" s="51" t="s">
        <v>86</v>
      </c>
      <c r="J14" s="52" t="s">
        <v>87</v>
      </c>
      <c r="K14" s="51">
        <v>11420</v>
      </c>
      <c r="L14" s="51" t="s">
        <v>88</v>
      </c>
      <c r="M14" s="52" t="s">
        <v>76</v>
      </c>
      <c r="N14" s="52" t="s">
        <v>77</v>
      </c>
      <c r="O14" s="53" t="s">
        <v>78</v>
      </c>
      <c r="P14" s="54" t="s">
        <v>79</v>
      </c>
    </row>
    <row r="15" spans="1:16" ht="12.75" customHeight="1" thickBot="1" x14ac:dyDescent="0.25">
      <c r="A15" s="11" t="str">
        <f t="shared" si="0"/>
        <v>BAVM 186 </v>
      </c>
      <c r="B15" s="16" t="str">
        <f t="shared" si="1"/>
        <v>I</v>
      </c>
      <c r="C15" s="11">
        <f t="shared" si="2"/>
        <v>54244.417000000001</v>
      </c>
      <c r="D15" s="14" t="str">
        <f t="shared" si="3"/>
        <v>vis</v>
      </c>
      <c r="E15" s="50">
        <f>VLOOKUP(C15,Active!C$21:E$973,3,FALSE)</f>
        <v>13003.14700064162</v>
      </c>
      <c r="F15" s="16" t="s">
        <v>56</v>
      </c>
      <c r="G15" s="14" t="str">
        <f t="shared" si="4"/>
        <v>54244.4170</v>
      </c>
      <c r="H15" s="11">
        <f t="shared" si="5"/>
        <v>13003</v>
      </c>
      <c r="I15" s="51" t="s">
        <v>89</v>
      </c>
      <c r="J15" s="52" t="s">
        <v>90</v>
      </c>
      <c r="K15" s="51">
        <v>13003</v>
      </c>
      <c r="L15" s="51" t="s">
        <v>91</v>
      </c>
      <c r="M15" s="52" t="s">
        <v>92</v>
      </c>
      <c r="N15" s="52" t="s">
        <v>93</v>
      </c>
      <c r="O15" s="53" t="s">
        <v>78</v>
      </c>
      <c r="P15" s="54" t="s">
        <v>94</v>
      </c>
    </row>
    <row r="16" spans="1:16" ht="12.75" customHeight="1" thickBot="1" x14ac:dyDescent="0.25">
      <c r="A16" s="11" t="str">
        <f t="shared" si="0"/>
        <v>BAVM 214 </v>
      </c>
      <c r="B16" s="16" t="str">
        <f t="shared" si="1"/>
        <v>I</v>
      </c>
      <c r="C16" s="11">
        <f t="shared" si="2"/>
        <v>55358.476600000002</v>
      </c>
      <c r="D16" s="14" t="str">
        <f t="shared" si="3"/>
        <v>vis</v>
      </c>
      <c r="E16" s="50">
        <f>VLOOKUP(C16,Active!C$21:E$973,3,FALSE)</f>
        <v>13724.149401826537</v>
      </c>
      <c r="F16" s="16" t="s">
        <v>56</v>
      </c>
      <c r="G16" s="14" t="str">
        <f t="shared" si="4"/>
        <v>55358.4766</v>
      </c>
      <c r="H16" s="11">
        <f t="shared" si="5"/>
        <v>13724</v>
      </c>
      <c r="I16" s="51" t="s">
        <v>104</v>
      </c>
      <c r="J16" s="52" t="s">
        <v>105</v>
      </c>
      <c r="K16" s="51" t="s">
        <v>106</v>
      </c>
      <c r="L16" s="51" t="s">
        <v>107</v>
      </c>
      <c r="M16" s="52" t="s">
        <v>92</v>
      </c>
      <c r="N16" s="52" t="s">
        <v>93</v>
      </c>
      <c r="O16" s="53" t="s">
        <v>78</v>
      </c>
      <c r="P16" s="54" t="s">
        <v>108</v>
      </c>
    </row>
    <row r="17" spans="1:16" ht="12.75" customHeight="1" thickBot="1" x14ac:dyDescent="0.25">
      <c r="A17" s="11" t="str">
        <f t="shared" si="0"/>
        <v>IBVS 5960 </v>
      </c>
      <c r="B17" s="16" t="str">
        <f t="shared" si="1"/>
        <v>I</v>
      </c>
      <c r="C17" s="11">
        <f t="shared" si="2"/>
        <v>55469.726000000002</v>
      </c>
      <c r="D17" s="14" t="str">
        <f t="shared" si="3"/>
        <v>vis</v>
      </c>
      <c r="E17" s="50">
        <f>VLOOKUP(C17,Active!C$21:E$973,3,FALSE)</f>
        <v>13796.148318698113</v>
      </c>
      <c r="F17" s="16" t="s">
        <v>56</v>
      </c>
      <c r="G17" s="14" t="str">
        <f t="shared" si="4"/>
        <v>55469.7260</v>
      </c>
      <c r="H17" s="11">
        <f t="shared" si="5"/>
        <v>13796</v>
      </c>
      <c r="I17" s="51" t="s">
        <v>109</v>
      </c>
      <c r="J17" s="52" t="s">
        <v>110</v>
      </c>
      <c r="K17" s="51" t="s">
        <v>111</v>
      </c>
      <c r="L17" s="51" t="s">
        <v>112</v>
      </c>
      <c r="M17" s="52" t="s">
        <v>92</v>
      </c>
      <c r="N17" s="52" t="s">
        <v>56</v>
      </c>
      <c r="O17" s="53" t="s">
        <v>113</v>
      </c>
      <c r="P17" s="54" t="s">
        <v>114</v>
      </c>
    </row>
    <row r="18" spans="1:16" ht="12.75" customHeight="1" thickBot="1" x14ac:dyDescent="0.25">
      <c r="A18" s="11" t="str">
        <f t="shared" si="0"/>
        <v>IBVS 6011 </v>
      </c>
      <c r="B18" s="16" t="str">
        <f t="shared" si="1"/>
        <v>I</v>
      </c>
      <c r="C18" s="11">
        <f t="shared" si="2"/>
        <v>55863.743000000002</v>
      </c>
      <c r="D18" s="14" t="str">
        <f t="shared" si="3"/>
        <v>vis</v>
      </c>
      <c r="E18" s="50">
        <f>VLOOKUP(C18,Active!C$21:E$973,3,FALSE)</f>
        <v>14051.150118518946</v>
      </c>
      <c r="F18" s="16" t="s">
        <v>56</v>
      </c>
      <c r="G18" s="14" t="str">
        <f t="shared" si="4"/>
        <v>55863.7430</v>
      </c>
      <c r="H18" s="11">
        <f t="shared" si="5"/>
        <v>14051</v>
      </c>
      <c r="I18" s="51" t="s">
        <v>120</v>
      </c>
      <c r="J18" s="52" t="s">
        <v>121</v>
      </c>
      <c r="K18" s="51" t="s">
        <v>122</v>
      </c>
      <c r="L18" s="51" t="s">
        <v>123</v>
      </c>
      <c r="M18" s="52" t="s">
        <v>92</v>
      </c>
      <c r="N18" s="52" t="s">
        <v>56</v>
      </c>
      <c r="O18" s="53" t="s">
        <v>113</v>
      </c>
      <c r="P18" s="54" t="s">
        <v>124</v>
      </c>
    </row>
    <row r="19" spans="1:16" ht="12.75" customHeight="1" thickBot="1" x14ac:dyDescent="0.25">
      <c r="A19" s="11" t="str">
        <f t="shared" si="0"/>
        <v>BAVM 239 </v>
      </c>
      <c r="B19" s="16" t="str">
        <f t="shared" si="1"/>
        <v>I</v>
      </c>
      <c r="C19" s="11">
        <f t="shared" si="2"/>
        <v>56928.359299999996</v>
      </c>
      <c r="D19" s="14" t="str">
        <f t="shared" si="3"/>
        <v>vis</v>
      </c>
      <c r="E19" s="50">
        <f>VLOOKUP(C19,Active!C$21:E$973,3,FALSE)</f>
        <v>14740.153569178678</v>
      </c>
      <c r="F19" s="16" t="s">
        <v>56</v>
      </c>
      <c r="G19" s="14" t="str">
        <f t="shared" si="4"/>
        <v>56928.3593</v>
      </c>
      <c r="H19" s="11">
        <f t="shared" si="5"/>
        <v>14740</v>
      </c>
      <c r="I19" s="51" t="s">
        <v>125</v>
      </c>
      <c r="J19" s="52" t="s">
        <v>126</v>
      </c>
      <c r="K19" s="51" t="s">
        <v>127</v>
      </c>
      <c r="L19" s="51" t="s">
        <v>128</v>
      </c>
      <c r="M19" s="52" t="s">
        <v>92</v>
      </c>
      <c r="N19" s="52" t="s">
        <v>93</v>
      </c>
      <c r="O19" s="53" t="s">
        <v>78</v>
      </c>
      <c r="P19" s="54" t="s">
        <v>129</v>
      </c>
    </row>
    <row r="20" spans="1:16" ht="12.75" customHeight="1" thickBot="1" x14ac:dyDescent="0.25">
      <c r="A20" s="11" t="str">
        <f t="shared" si="0"/>
        <v> RIA 8.231 </v>
      </c>
      <c r="B20" s="16" t="str">
        <f t="shared" si="1"/>
        <v>I</v>
      </c>
      <c r="C20" s="11">
        <f t="shared" si="2"/>
        <v>32749.562000000002</v>
      </c>
      <c r="D20" s="14" t="str">
        <f t="shared" si="3"/>
        <v>vis</v>
      </c>
      <c r="E20" s="50">
        <f>VLOOKUP(C20,Active!C$21:E$973,3,FALSE)</f>
        <v>-907.99569596243339</v>
      </c>
      <c r="F20" s="16" t="s">
        <v>56</v>
      </c>
      <c r="G20" s="14" t="str">
        <f t="shared" si="4"/>
        <v>32749.562</v>
      </c>
      <c r="H20" s="11">
        <f t="shared" si="5"/>
        <v>-908</v>
      </c>
      <c r="I20" s="51" t="s">
        <v>58</v>
      </c>
      <c r="J20" s="52" t="s">
        <v>59</v>
      </c>
      <c r="K20" s="51">
        <v>-908</v>
      </c>
      <c r="L20" s="51" t="s">
        <v>60</v>
      </c>
      <c r="M20" s="52" t="s">
        <v>61</v>
      </c>
      <c r="N20" s="52"/>
      <c r="O20" s="53" t="s">
        <v>62</v>
      </c>
      <c r="P20" s="53" t="s">
        <v>63</v>
      </c>
    </row>
    <row r="21" spans="1:16" ht="12.75" customHeight="1" thickBot="1" x14ac:dyDescent="0.25">
      <c r="A21" s="11" t="str">
        <f t="shared" si="0"/>
        <v> RIA 8.231 </v>
      </c>
      <c r="B21" s="16" t="str">
        <f t="shared" si="1"/>
        <v>I</v>
      </c>
      <c r="C21" s="11">
        <f t="shared" si="2"/>
        <v>33205.381000000001</v>
      </c>
      <c r="D21" s="14" t="str">
        <f t="shared" si="3"/>
        <v>vis</v>
      </c>
      <c r="E21" s="50">
        <f>VLOOKUP(C21,Active!C$21:E$973,3,FALSE)</f>
        <v>-612.99658325274743</v>
      </c>
      <c r="F21" s="16" t="s">
        <v>56</v>
      </c>
      <c r="G21" s="14" t="str">
        <f t="shared" si="4"/>
        <v>33205.381</v>
      </c>
      <c r="H21" s="11">
        <f t="shared" si="5"/>
        <v>-613</v>
      </c>
      <c r="I21" s="51" t="s">
        <v>64</v>
      </c>
      <c r="J21" s="52" t="s">
        <v>65</v>
      </c>
      <c r="K21" s="51">
        <v>-613</v>
      </c>
      <c r="L21" s="51" t="s">
        <v>66</v>
      </c>
      <c r="M21" s="52" t="s">
        <v>61</v>
      </c>
      <c r="N21" s="52"/>
      <c r="O21" s="53" t="s">
        <v>62</v>
      </c>
      <c r="P21" s="53" t="s">
        <v>63</v>
      </c>
    </row>
    <row r="22" spans="1:16" ht="12.75" customHeight="1" thickBot="1" x14ac:dyDescent="0.25">
      <c r="A22" s="11" t="str">
        <f t="shared" si="0"/>
        <v> RIA 8.231 </v>
      </c>
      <c r="B22" s="16" t="str">
        <f t="shared" si="1"/>
        <v>I</v>
      </c>
      <c r="C22" s="11">
        <f t="shared" si="2"/>
        <v>34152.553</v>
      </c>
      <c r="D22" s="14" t="str">
        <f t="shared" si="3"/>
        <v>vis</v>
      </c>
      <c r="E22" s="50">
        <f>VLOOKUP(C22,Active!C$21:E$973,3,FALSE)</f>
        <v>-1.2943695316333258E-3</v>
      </c>
      <c r="F22" s="16" t="s">
        <v>56</v>
      </c>
      <c r="G22" s="14" t="str">
        <f t="shared" si="4"/>
        <v>34152.553</v>
      </c>
      <c r="H22" s="11">
        <f t="shared" si="5"/>
        <v>0</v>
      </c>
      <c r="I22" s="51" t="s">
        <v>67</v>
      </c>
      <c r="J22" s="52" t="s">
        <v>68</v>
      </c>
      <c r="K22" s="51">
        <v>0</v>
      </c>
      <c r="L22" s="51" t="s">
        <v>69</v>
      </c>
      <c r="M22" s="52" t="s">
        <v>61</v>
      </c>
      <c r="N22" s="52"/>
      <c r="O22" s="53" t="s">
        <v>62</v>
      </c>
      <c r="P22" s="53" t="s">
        <v>63</v>
      </c>
    </row>
    <row r="23" spans="1:16" ht="12.75" customHeight="1" thickBot="1" x14ac:dyDescent="0.25">
      <c r="A23" s="11" t="str">
        <f t="shared" si="0"/>
        <v> RIA 8.231 </v>
      </c>
      <c r="B23" s="16" t="str">
        <f t="shared" si="1"/>
        <v>I</v>
      </c>
      <c r="C23" s="11">
        <f t="shared" si="2"/>
        <v>35101.273000000001</v>
      </c>
      <c r="D23" s="14" t="str">
        <f t="shared" si="3"/>
        <v>vis</v>
      </c>
      <c r="E23" s="50">
        <f>VLOOKUP(C23,Active!C$21:E$973,3,FALSE)</f>
        <v>613.9958365309659</v>
      </c>
      <c r="F23" s="16" t="s">
        <v>56</v>
      </c>
      <c r="G23" s="14" t="str">
        <f t="shared" si="4"/>
        <v>35101.273</v>
      </c>
      <c r="H23" s="11">
        <f t="shared" si="5"/>
        <v>614</v>
      </c>
      <c r="I23" s="51" t="s">
        <v>70</v>
      </c>
      <c r="J23" s="52" t="s">
        <v>71</v>
      </c>
      <c r="K23" s="51">
        <v>614</v>
      </c>
      <c r="L23" s="51" t="s">
        <v>72</v>
      </c>
      <c r="M23" s="52" t="s">
        <v>61</v>
      </c>
      <c r="N23" s="52"/>
      <c r="O23" s="53" t="s">
        <v>62</v>
      </c>
      <c r="P23" s="53" t="s">
        <v>63</v>
      </c>
    </row>
    <row r="24" spans="1:16" ht="12.75" customHeight="1" thickBot="1" x14ac:dyDescent="0.25">
      <c r="A24" s="11" t="str">
        <f t="shared" si="0"/>
        <v>BAVM 212 </v>
      </c>
      <c r="B24" s="16" t="str">
        <f t="shared" si="1"/>
        <v>I</v>
      </c>
      <c r="C24" s="11">
        <f t="shared" si="2"/>
        <v>55049.445699999997</v>
      </c>
      <c r="D24" s="14" t="str">
        <f t="shared" si="3"/>
        <v>vis</v>
      </c>
      <c r="E24" s="50">
        <f>VLOOKUP(C24,Active!C$21:E$973,3,FALSE)</f>
        <v>13524.149311220666</v>
      </c>
      <c r="F24" s="16" t="s">
        <v>56</v>
      </c>
      <c r="G24" s="14" t="str">
        <f t="shared" si="4"/>
        <v>55049.4457</v>
      </c>
      <c r="H24" s="11">
        <f t="shared" si="5"/>
        <v>13524</v>
      </c>
      <c r="I24" s="51" t="s">
        <v>95</v>
      </c>
      <c r="J24" s="52" t="s">
        <v>96</v>
      </c>
      <c r="K24" s="51" t="s">
        <v>97</v>
      </c>
      <c r="L24" s="51" t="s">
        <v>98</v>
      </c>
      <c r="M24" s="52" t="s">
        <v>92</v>
      </c>
      <c r="N24" s="52" t="s">
        <v>93</v>
      </c>
      <c r="O24" s="53" t="s">
        <v>78</v>
      </c>
      <c r="P24" s="54" t="s">
        <v>99</v>
      </c>
    </row>
    <row r="25" spans="1:16" ht="12.75" customHeight="1" thickBot="1" x14ac:dyDescent="0.25">
      <c r="A25" s="11" t="str">
        <f t="shared" si="0"/>
        <v>BAVM 212 </v>
      </c>
      <c r="B25" s="16" t="str">
        <f t="shared" si="1"/>
        <v>I</v>
      </c>
      <c r="C25" s="11">
        <f t="shared" si="2"/>
        <v>55097.345699999998</v>
      </c>
      <c r="D25" s="14" t="str">
        <f t="shared" si="3"/>
        <v>vis</v>
      </c>
      <c r="E25" s="50">
        <f>VLOOKUP(C25,Active!C$21:E$973,3,FALSE)</f>
        <v>13555.149461496971</v>
      </c>
      <c r="F25" s="16" t="s">
        <v>56</v>
      </c>
      <c r="G25" s="14" t="str">
        <f t="shared" si="4"/>
        <v>55097.3457</v>
      </c>
      <c r="H25" s="11">
        <f t="shared" si="5"/>
        <v>13555</v>
      </c>
      <c r="I25" s="51" t="s">
        <v>100</v>
      </c>
      <c r="J25" s="52" t="s">
        <v>101</v>
      </c>
      <c r="K25" s="51" t="s">
        <v>102</v>
      </c>
      <c r="L25" s="51" t="s">
        <v>103</v>
      </c>
      <c r="M25" s="52" t="s">
        <v>92</v>
      </c>
      <c r="N25" s="52" t="s">
        <v>93</v>
      </c>
      <c r="O25" s="53" t="s">
        <v>78</v>
      </c>
      <c r="P25" s="54" t="s">
        <v>99</v>
      </c>
    </row>
    <row r="26" spans="1:16" ht="12.75" customHeight="1" thickBot="1" x14ac:dyDescent="0.25">
      <c r="A26" s="11" t="str">
        <f t="shared" si="0"/>
        <v>BAVM 225 </v>
      </c>
      <c r="B26" s="16" t="str">
        <f t="shared" si="1"/>
        <v>I</v>
      </c>
      <c r="C26" s="11">
        <f t="shared" si="2"/>
        <v>55851.3819</v>
      </c>
      <c r="D26" s="14" t="str">
        <f t="shared" si="3"/>
        <v>vis</v>
      </c>
      <c r="E26" s="50">
        <f>VLOOKUP(C26,Active!C$21:E$973,3,FALSE)</f>
        <v>14043.15020291184</v>
      </c>
      <c r="F26" s="16" t="s">
        <v>56</v>
      </c>
      <c r="G26" s="14" t="str">
        <f t="shared" si="4"/>
        <v>55851.3819</v>
      </c>
      <c r="H26" s="11">
        <f t="shared" si="5"/>
        <v>14043</v>
      </c>
      <c r="I26" s="51" t="s">
        <v>115</v>
      </c>
      <c r="J26" s="52" t="s">
        <v>116</v>
      </c>
      <c r="K26" s="51" t="s">
        <v>117</v>
      </c>
      <c r="L26" s="51" t="s">
        <v>118</v>
      </c>
      <c r="M26" s="52" t="s">
        <v>92</v>
      </c>
      <c r="N26" s="52" t="s">
        <v>93</v>
      </c>
      <c r="O26" s="53" t="s">
        <v>78</v>
      </c>
      <c r="P26" s="54" t="s">
        <v>119</v>
      </c>
    </row>
    <row r="27" spans="1:16" x14ac:dyDescent="0.2">
      <c r="B27" s="16"/>
      <c r="E27" s="50"/>
      <c r="F27" s="16"/>
    </row>
    <row r="28" spans="1:16" x14ac:dyDescent="0.2">
      <c r="B28" s="16"/>
      <c r="E28" s="50"/>
      <c r="F28" s="16"/>
    </row>
    <row r="29" spans="1:16" x14ac:dyDescent="0.2">
      <c r="B29" s="16"/>
      <c r="E29" s="50"/>
      <c r="F29" s="16"/>
    </row>
    <row r="30" spans="1:16" x14ac:dyDescent="0.2">
      <c r="B30" s="16"/>
      <c r="E30" s="50"/>
      <c r="F30" s="16"/>
    </row>
    <row r="31" spans="1:16" x14ac:dyDescent="0.2">
      <c r="B31" s="16"/>
      <c r="E31" s="50"/>
      <c r="F31" s="16"/>
    </row>
    <row r="32" spans="1:16" x14ac:dyDescent="0.2">
      <c r="B32" s="16"/>
      <c r="E32" s="50"/>
      <c r="F32" s="16"/>
    </row>
    <row r="33" spans="2:6" x14ac:dyDescent="0.2">
      <c r="B33" s="16"/>
      <c r="E33" s="50"/>
      <c r="F33" s="16"/>
    </row>
    <row r="34" spans="2:6" x14ac:dyDescent="0.2">
      <c r="B34" s="16"/>
      <c r="E34" s="50"/>
      <c r="F34" s="16"/>
    </row>
    <row r="35" spans="2:6" x14ac:dyDescent="0.2">
      <c r="B35" s="16"/>
      <c r="E35" s="50"/>
      <c r="F35" s="16"/>
    </row>
    <row r="36" spans="2:6" x14ac:dyDescent="0.2">
      <c r="B36" s="16"/>
      <c r="E36" s="50"/>
      <c r="F36" s="16"/>
    </row>
    <row r="37" spans="2:6" x14ac:dyDescent="0.2">
      <c r="B37" s="16"/>
      <c r="E37" s="50"/>
      <c r="F37" s="16"/>
    </row>
    <row r="38" spans="2:6" x14ac:dyDescent="0.2">
      <c r="B38" s="16"/>
      <c r="E38" s="50"/>
      <c r="F38" s="16"/>
    </row>
    <row r="39" spans="2:6" x14ac:dyDescent="0.2">
      <c r="B39" s="16"/>
      <c r="E39" s="50"/>
      <c r="F39" s="16"/>
    </row>
    <row r="40" spans="2:6" x14ac:dyDescent="0.2">
      <c r="B40" s="16"/>
      <c r="F40" s="16"/>
    </row>
    <row r="41" spans="2:6" x14ac:dyDescent="0.2">
      <c r="B41" s="16"/>
      <c r="F41" s="16"/>
    </row>
    <row r="42" spans="2:6" x14ac:dyDescent="0.2">
      <c r="B42" s="16"/>
      <c r="F42" s="16"/>
    </row>
    <row r="43" spans="2:6" x14ac:dyDescent="0.2">
      <c r="B43" s="16"/>
      <c r="F43" s="16"/>
    </row>
    <row r="44" spans="2:6" x14ac:dyDescent="0.2">
      <c r="B44" s="16"/>
      <c r="F44" s="16"/>
    </row>
    <row r="45" spans="2:6" x14ac:dyDescent="0.2">
      <c r="B45" s="16"/>
      <c r="F45" s="16"/>
    </row>
    <row r="46" spans="2:6" x14ac:dyDescent="0.2">
      <c r="B46" s="16"/>
      <c r="F46" s="16"/>
    </row>
    <row r="47" spans="2:6" x14ac:dyDescent="0.2">
      <c r="B47" s="16"/>
      <c r="F47" s="16"/>
    </row>
    <row r="48" spans="2:6" x14ac:dyDescent="0.2">
      <c r="B48" s="16"/>
      <c r="F48" s="16"/>
    </row>
    <row r="49" spans="2:6" x14ac:dyDescent="0.2">
      <c r="B49" s="16"/>
      <c r="F49" s="16"/>
    </row>
    <row r="50" spans="2:6" x14ac:dyDescent="0.2">
      <c r="B50" s="16"/>
      <c r="F50" s="16"/>
    </row>
    <row r="51" spans="2:6" x14ac:dyDescent="0.2">
      <c r="B51" s="16"/>
      <c r="F51" s="16"/>
    </row>
    <row r="52" spans="2:6" x14ac:dyDescent="0.2">
      <c r="B52" s="16"/>
      <c r="F52" s="16"/>
    </row>
    <row r="53" spans="2:6" x14ac:dyDescent="0.2">
      <c r="B53" s="16"/>
      <c r="F53" s="16"/>
    </row>
    <row r="54" spans="2:6" x14ac:dyDescent="0.2">
      <c r="B54" s="16"/>
      <c r="F54" s="16"/>
    </row>
    <row r="55" spans="2:6" x14ac:dyDescent="0.2">
      <c r="B55" s="16"/>
      <c r="F55" s="16"/>
    </row>
    <row r="56" spans="2:6" x14ac:dyDescent="0.2">
      <c r="B56" s="16"/>
      <c r="F56" s="16"/>
    </row>
    <row r="57" spans="2:6" x14ac:dyDescent="0.2">
      <c r="B57" s="16"/>
      <c r="F57" s="16"/>
    </row>
    <row r="58" spans="2:6" x14ac:dyDescent="0.2">
      <c r="B58" s="16"/>
      <c r="F58" s="16"/>
    </row>
    <row r="59" spans="2:6" x14ac:dyDescent="0.2">
      <c r="B59" s="16"/>
      <c r="F59" s="16"/>
    </row>
    <row r="60" spans="2:6" x14ac:dyDescent="0.2">
      <c r="B60" s="16"/>
      <c r="F60" s="16"/>
    </row>
    <row r="61" spans="2:6" x14ac:dyDescent="0.2">
      <c r="B61" s="16"/>
      <c r="F61" s="16"/>
    </row>
    <row r="62" spans="2:6" x14ac:dyDescent="0.2">
      <c r="B62" s="16"/>
      <c r="F62" s="16"/>
    </row>
    <row r="63" spans="2:6" x14ac:dyDescent="0.2">
      <c r="B63" s="16"/>
      <c r="F63" s="16"/>
    </row>
    <row r="64" spans="2: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</sheetData>
  <phoneticPr fontId="8" type="noConversion"/>
  <hyperlinks>
    <hyperlink ref="P11" r:id="rId1" display="http://www.bav-astro.de/sfs/BAVM_link.php?BAVMnr=172"/>
    <hyperlink ref="P12" r:id="rId2" display="http://www.bav-astro.de/sfs/BAVM_link.php?BAVMnr=172"/>
    <hyperlink ref="P13" r:id="rId3" display="http://www.bav-astro.de/sfs/BAVM_link.php?BAVMnr=172"/>
    <hyperlink ref="P14" r:id="rId4" display="http://www.bav-astro.de/sfs/BAVM_link.php?BAVMnr=172"/>
    <hyperlink ref="P15" r:id="rId5" display="http://www.bav-astro.de/sfs/BAVM_link.php?BAVMnr=186"/>
    <hyperlink ref="P24" r:id="rId6" display="http://www.bav-astro.de/sfs/BAVM_link.php?BAVMnr=212"/>
    <hyperlink ref="P25" r:id="rId7" display="http://www.bav-astro.de/sfs/BAVM_link.php?BAVMnr=212"/>
    <hyperlink ref="P16" r:id="rId8" display="http://www.bav-astro.de/sfs/BAVM_link.php?BAVMnr=214"/>
    <hyperlink ref="P17" r:id="rId9" display="http://www.konkoly.hu/cgi-bin/IBVS?5960"/>
    <hyperlink ref="P26" r:id="rId10" display="http://www.bav-astro.de/sfs/BAVM_link.php?BAVMnr=225"/>
    <hyperlink ref="P18" r:id="rId11" display="http://www.konkoly.hu/cgi-bin/IBVS?6011"/>
    <hyperlink ref="P19" r:id="rId12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2023-01-17T01:08:24Z</dcterms:modified>
</cp:coreProperties>
</file>