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48BCF9-FD7C-41F2-A136-694CDC049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definedNames>
    <definedName name="solver_adj" localSheetId="0" hidden="1">'Active 1'!$Z$1:$Z$4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1'!$X$7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66" i="1" l="1"/>
  <c r="F66" i="1" s="1"/>
  <c r="Q66" i="1"/>
  <c r="E50" i="1"/>
  <c r="F50" i="1" s="1"/>
  <c r="Q50" i="1"/>
  <c r="E51" i="1"/>
  <c r="F51" i="1" s="1"/>
  <c r="Q51" i="1"/>
  <c r="E53" i="1"/>
  <c r="F53" i="1"/>
  <c r="U53" i="1" s="1"/>
  <c r="Q53" i="1"/>
  <c r="E54" i="1"/>
  <c r="F54" i="1" s="1"/>
  <c r="Q54" i="1"/>
  <c r="E55" i="1"/>
  <c r="F55" i="1"/>
  <c r="Q55" i="1"/>
  <c r="E56" i="1"/>
  <c r="F56" i="1" s="1"/>
  <c r="Q56" i="1"/>
  <c r="E58" i="1"/>
  <c r="F58" i="1" s="1"/>
  <c r="Q58" i="1"/>
  <c r="E59" i="1"/>
  <c r="F59" i="1"/>
  <c r="G59" i="1" s="1"/>
  <c r="Q59" i="1"/>
  <c r="E60" i="1"/>
  <c r="F60" i="1" s="1"/>
  <c r="Q60" i="1"/>
  <c r="E61" i="1"/>
  <c r="F61" i="1" s="1"/>
  <c r="Q61" i="1"/>
  <c r="E62" i="1"/>
  <c r="F62" i="1"/>
  <c r="G62" i="1" s="1"/>
  <c r="Q62" i="1"/>
  <c r="E63" i="1"/>
  <c r="F63" i="1" s="1"/>
  <c r="Q63" i="1"/>
  <c r="E64" i="1"/>
  <c r="F64" i="1"/>
  <c r="Q64" i="1"/>
  <c r="E65" i="1"/>
  <c r="F65" i="1" s="1"/>
  <c r="Q65" i="1"/>
  <c r="E49" i="1"/>
  <c r="F49" i="1" s="1"/>
  <c r="Q49" i="1"/>
  <c r="E52" i="1"/>
  <c r="F52" i="1"/>
  <c r="G52" i="1" s="1"/>
  <c r="Q52" i="1"/>
  <c r="E57" i="1"/>
  <c r="F57" i="1" s="1"/>
  <c r="Q57" i="1"/>
  <c r="E46" i="1"/>
  <c r="F46" i="1" s="1"/>
  <c r="E47" i="1"/>
  <c r="F47" i="1"/>
  <c r="G47" i="1" s="1"/>
  <c r="E48" i="1"/>
  <c r="F48" i="1" s="1"/>
  <c r="Q46" i="1"/>
  <c r="Q47" i="1"/>
  <c r="Q48" i="1"/>
  <c r="Z5" i="1"/>
  <c r="Z6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11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E22" i="1"/>
  <c r="F22" i="1"/>
  <c r="G22" i="1" s="1"/>
  <c r="T22" i="1" s="1"/>
  <c r="E23" i="1"/>
  <c r="F23" i="1" s="1"/>
  <c r="E24" i="1"/>
  <c r="F24" i="1"/>
  <c r="U24" i="1" s="1"/>
  <c r="G24" i="1"/>
  <c r="H24" i="1" s="1"/>
  <c r="E25" i="1"/>
  <c r="F25" i="1" s="1"/>
  <c r="E26" i="1"/>
  <c r="F26" i="1" s="1"/>
  <c r="E27" i="1"/>
  <c r="F27" i="1"/>
  <c r="G27" i="1" s="1"/>
  <c r="E28" i="1"/>
  <c r="F28" i="1" s="1"/>
  <c r="E29" i="1"/>
  <c r="F29" i="1" s="1"/>
  <c r="E30" i="1"/>
  <c r="F30" i="1"/>
  <c r="G30" i="1"/>
  <c r="H30" i="1" s="1"/>
  <c r="E31" i="1"/>
  <c r="F31" i="1" s="1"/>
  <c r="E32" i="1"/>
  <c r="F32" i="1" s="1"/>
  <c r="E33" i="1"/>
  <c r="F33" i="1"/>
  <c r="U33" i="1" s="1"/>
  <c r="G33" i="1"/>
  <c r="H33" i="1" s="1"/>
  <c r="E34" i="1"/>
  <c r="F34" i="1" s="1"/>
  <c r="E35" i="1"/>
  <c r="F35" i="1"/>
  <c r="E36" i="1"/>
  <c r="F36" i="1"/>
  <c r="E37" i="1"/>
  <c r="F37" i="1"/>
  <c r="G37" i="1"/>
  <c r="K37" i="1" s="1"/>
  <c r="E38" i="1"/>
  <c r="F38" i="1" s="1"/>
  <c r="E39" i="1"/>
  <c r="F39" i="1" s="1"/>
  <c r="E40" i="1"/>
  <c r="F40" i="1"/>
  <c r="E41" i="1"/>
  <c r="F41" i="1"/>
  <c r="G41" i="1" s="1"/>
  <c r="E42" i="1"/>
  <c r="F42" i="1"/>
  <c r="G42" i="1" s="1"/>
  <c r="E43" i="1"/>
  <c r="F43" i="1"/>
  <c r="E44" i="1"/>
  <c r="F44" i="1"/>
  <c r="G44" i="1" s="1"/>
  <c r="E45" i="1"/>
  <c r="F45" i="1" s="1"/>
  <c r="E21" i="1"/>
  <c r="F21" i="1"/>
  <c r="G21" i="1"/>
  <c r="T21" i="1"/>
  <c r="C14" i="1"/>
  <c r="C13" i="1"/>
  <c r="D14" i="1"/>
  <c r="D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F12" i="1"/>
  <c r="F13" i="1" s="1"/>
  <c r="C17" i="1"/>
  <c r="Q21" i="1"/>
  <c r="V30" i="1"/>
  <c r="G40" i="1"/>
  <c r="K40" i="1"/>
  <c r="V40" i="1"/>
  <c r="G35" i="1"/>
  <c r="R35" i="1"/>
  <c r="W35" i="1" s="1"/>
  <c r="U35" i="1"/>
  <c r="G43" i="1"/>
  <c r="K43" i="1" s="1"/>
  <c r="V43" i="1"/>
  <c r="G36" i="1"/>
  <c r="S36" i="1"/>
  <c r="X36" i="1" s="1"/>
  <c r="V36" i="1"/>
  <c r="H36" i="1"/>
  <c r="S40" i="1"/>
  <c r="X40" i="1" s="1"/>
  <c r="R33" i="1"/>
  <c r="H35" i="1"/>
  <c r="U42" i="1"/>
  <c r="U37" i="1"/>
  <c r="G53" i="1"/>
  <c r="R53" i="1" s="1"/>
  <c r="U55" i="1"/>
  <c r="G55" i="1"/>
  <c r="L55" i="1" s="1"/>
  <c r="U64" i="1"/>
  <c r="G64" i="1"/>
  <c r="U52" i="1"/>
  <c r="K64" i="1"/>
  <c r="R64" i="1"/>
  <c r="W64" i="1"/>
  <c r="K42" i="1" l="1"/>
  <c r="R42" i="1"/>
  <c r="W42" i="1" s="1"/>
  <c r="G29" i="1"/>
  <c r="V29" i="1"/>
  <c r="S52" i="1"/>
  <c r="W52" i="1" s="1"/>
  <c r="K52" i="1"/>
  <c r="U56" i="1"/>
  <c r="G56" i="1"/>
  <c r="U38" i="1"/>
  <c r="G38" i="1"/>
  <c r="G48" i="1"/>
  <c r="U48" i="1"/>
  <c r="U60" i="1"/>
  <c r="G60" i="1"/>
  <c r="V23" i="1"/>
  <c r="G23" i="1"/>
  <c r="H27" i="1"/>
  <c r="S27" i="1"/>
  <c r="S47" i="1"/>
  <c r="K47" i="1"/>
  <c r="G63" i="1"/>
  <c r="U63" i="1"/>
  <c r="U51" i="1"/>
  <c r="G51" i="1"/>
  <c r="U45" i="1"/>
  <c r="G45" i="1"/>
  <c r="V32" i="1"/>
  <c r="G32" i="1"/>
  <c r="U49" i="1"/>
  <c r="G49" i="1"/>
  <c r="S59" i="1"/>
  <c r="L59" i="1"/>
  <c r="G61" i="1"/>
  <c r="U61" i="1"/>
  <c r="U26" i="1"/>
  <c r="G26" i="1"/>
  <c r="U46" i="1"/>
  <c r="G46" i="1"/>
  <c r="R62" i="1"/>
  <c r="L62" i="1"/>
  <c r="G50" i="1"/>
  <c r="U50" i="1"/>
  <c r="K41" i="1"/>
  <c r="R41" i="1"/>
  <c r="K44" i="1"/>
  <c r="R44" i="1"/>
  <c r="U31" i="1"/>
  <c r="G31" i="1"/>
  <c r="V25" i="1"/>
  <c r="G25" i="1"/>
  <c r="U65" i="1"/>
  <c r="G65" i="1"/>
  <c r="G54" i="1"/>
  <c r="U54" i="1"/>
  <c r="G34" i="1"/>
  <c r="V34" i="1"/>
  <c r="W33" i="1"/>
  <c r="U28" i="1"/>
  <c r="G28" i="1"/>
  <c r="W53" i="1"/>
  <c r="U39" i="1"/>
  <c r="G39" i="1"/>
  <c r="U57" i="1"/>
  <c r="G57" i="1"/>
  <c r="U58" i="1"/>
  <c r="G58" i="1"/>
  <c r="G66" i="1"/>
  <c r="U66" i="1"/>
  <c r="R37" i="1"/>
  <c r="W37" i="1" s="1"/>
  <c r="U62" i="1"/>
  <c r="U47" i="1"/>
  <c r="R24" i="1"/>
  <c r="R55" i="1"/>
  <c r="W55" i="1" s="1"/>
  <c r="L53" i="1"/>
  <c r="U59" i="1"/>
  <c r="S30" i="1"/>
  <c r="X30" i="1" s="1"/>
  <c r="U44" i="1"/>
  <c r="U41" i="1"/>
  <c r="S43" i="1"/>
  <c r="V27" i="1"/>
  <c r="W24" i="1" l="1"/>
  <c r="L51" i="1"/>
  <c r="S51" i="1"/>
  <c r="H23" i="1"/>
  <c r="S23" i="1"/>
  <c r="S56" i="1"/>
  <c r="W56" i="1" s="1"/>
  <c r="L56" i="1"/>
  <c r="X43" i="1"/>
  <c r="S34" i="1"/>
  <c r="X34" i="1" s="1"/>
  <c r="H34" i="1"/>
  <c r="W62" i="1"/>
  <c r="W59" i="1"/>
  <c r="S57" i="1"/>
  <c r="W57" i="1" s="1"/>
  <c r="K57" i="1"/>
  <c r="K39" i="1"/>
  <c r="R39" i="1"/>
  <c r="W39" i="1" s="1"/>
  <c r="W44" i="1"/>
  <c r="K46" i="1"/>
  <c r="R46" i="1"/>
  <c r="W46" i="1" s="1"/>
  <c r="K49" i="1"/>
  <c r="R49" i="1"/>
  <c r="W49" i="1" s="1"/>
  <c r="R60" i="1"/>
  <c r="W60" i="1" s="1"/>
  <c r="L60" i="1"/>
  <c r="L54" i="1"/>
  <c r="S54" i="1"/>
  <c r="W54" i="1" s="1"/>
  <c r="L63" i="1"/>
  <c r="S63" i="1"/>
  <c r="W63" i="1" s="1"/>
  <c r="K65" i="1"/>
  <c r="R65" i="1"/>
  <c r="W65" i="1" s="1"/>
  <c r="W41" i="1"/>
  <c r="H26" i="1"/>
  <c r="R26" i="1"/>
  <c r="W26" i="1" s="1"/>
  <c r="H32" i="1"/>
  <c r="S32" i="1"/>
  <c r="X32" i="1" s="1"/>
  <c r="K66" i="1"/>
  <c r="R66" i="1"/>
  <c r="W66" i="1" s="1"/>
  <c r="R28" i="1"/>
  <c r="W28" i="1" s="1"/>
  <c r="H28" i="1"/>
  <c r="W47" i="1"/>
  <c r="K48" i="1"/>
  <c r="R48" i="1"/>
  <c r="W48" i="1" s="1"/>
  <c r="S29" i="1"/>
  <c r="X29" i="1" s="1"/>
  <c r="H29" i="1"/>
  <c r="H31" i="1"/>
  <c r="R31" i="1"/>
  <c r="W31" i="1" s="1"/>
  <c r="R58" i="1"/>
  <c r="W58" i="1" s="1"/>
  <c r="L58" i="1"/>
  <c r="S25" i="1"/>
  <c r="X25" i="1" s="1"/>
  <c r="H25" i="1"/>
  <c r="K45" i="1"/>
  <c r="R45" i="1"/>
  <c r="W45" i="1" s="1"/>
  <c r="X27" i="1"/>
  <c r="R38" i="1"/>
  <c r="K38" i="1"/>
  <c r="R50" i="1"/>
  <c r="W50" i="1" s="1"/>
  <c r="L50" i="1"/>
  <c r="L61" i="1"/>
  <c r="S61" i="1"/>
  <c r="W61" i="1" s="1"/>
  <c r="D11" i="1"/>
  <c r="D12" i="1"/>
  <c r="C12" i="1"/>
  <c r="C11" i="1"/>
  <c r="O64" i="1" l="1"/>
  <c r="O38" i="1"/>
  <c r="O58" i="1"/>
  <c r="O37" i="1"/>
  <c r="O42" i="1"/>
  <c r="O39" i="1"/>
  <c r="O46" i="1"/>
  <c r="O55" i="1"/>
  <c r="O51" i="1"/>
  <c r="O54" i="1"/>
  <c r="O48" i="1"/>
  <c r="O53" i="1"/>
  <c r="O61" i="1"/>
  <c r="O63" i="1"/>
  <c r="O49" i="1"/>
  <c r="O59" i="1"/>
  <c r="O45" i="1"/>
  <c r="O60" i="1"/>
  <c r="O50" i="1"/>
  <c r="O65" i="1"/>
  <c r="O44" i="1"/>
  <c r="O52" i="1"/>
  <c r="O62" i="1"/>
  <c r="O36" i="1"/>
  <c r="O41" i="1"/>
  <c r="O56" i="1"/>
  <c r="O66" i="1"/>
  <c r="O40" i="1"/>
  <c r="O43" i="1"/>
  <c r="O57" i="1"/>
  <c r="O47" i="1"/>
  <c r="C15" i="1"/>
  <c r="C16" i="1"/>
  <c r="D18" i="1" s="1"/>
  <c r="D16" i="1"/>
  <c r="D19" i="1" s="1"/>
  <c r="P66" i="1"/>
  <c r="P61" i="1"/>
  <c r="P36" i="1"/>
  <c r="P41" i="1"/>
  <c r="P62" i="1"/>
  <c r="P55" i="1"/>
  <c r="P56" i="1"/>
  <c r="P60" i="1"/>
  <c r="P44" i="1"/>
  <c r="P47" i="1"/>
  <c r="P46" i="1"/>
  <c r="P49" i="1"/>
  <c r="P52" i="1"/>
  <c r="P38" i="1"/>
  <c r="D15" i="1"/>
  <c r="C19" i="1" s="1"/>
  <c r="P51" i="1"/>
  <c r="P40" i="1"/>
  <c r="P50" i="1"/>
  <c r="P53" i="1"/>
  <c r="P39" i="1"/>
  <c r="P37" i="1"/>
  <c r="P58" i="1"/>
  <c r="P57" i="1"/>
  <c r="P42" i="1"/>
  <c r="P63" i="1"/>
  <c r="P65" i="1"/>
  <c r="P59" i="1"/>
  <c r="P43" i="1"/>
  <c r="P48" i="1"/>
  <c r="P64" i="1"/>
  <c r="P54" i="1"/>
  <c r="P45" i="1"/>
  <c r="S19" i="1"/>
  <c r="E19" i="1" s="1"/>
  <c r="X23" i="1"/>
  <c r="X7" i="1" s="1"/>
  <c r="W38" i="1"/>
  <c r="W51" i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<sst xmlns="http://schemas.openxmlformats.org/spreadsheetml/2006/main" count="150" uniqueCount="73">
  <si>
    <t>OEJV 0189</t>
  </si>
  <si>
    <t>OEJV 0198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</si>
  <si>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</si>
  <si>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</si>
  <si>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</si>
  <si>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</si>
  <si>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</si>
  <si>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</si>
  <si>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</si>
  <si>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</si>
  <si>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</si>
  <si>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</si>
  <si>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</si>
  <si>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</si>
  <si>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</si>
  <si>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</si>
  <si>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</si>
  <si>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</si>
  <si>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</si>
  <si>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</si>
  <si>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</si>
  <si>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</si>
  <si>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</si>
  <si>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</si>
  <si>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</si>
  <si>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</si>
  <si>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</si>
  <si>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</si>
  <si>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</si>
  <si>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</si>
  <si>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</si>
  <si>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</si>
  <si>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</si>
  <si>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</si>
  <si>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</si>
  <si>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</si>
  <si>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</si>
  <si>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</si>
  <si>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</si>
  <si>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</si>
  <si>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</si>
  <si>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GG Lup / GSC 07826-03079</t>
  </si>
  <si>
    <t>EB/DM</t>
  </si>
  <si>
    <t>BBSAG Bull.29</t>
  </si>
  <si>
    <t>AS AP 277,439</t>
  </si>
  <si>
    <t>II</t>
  </si>
  <si>
    <t>OEJV 0130</t>
  </si>
  <si>
    <t>OEJV 0182</t>
  </si>
  <si>
    <t>I</t>
  </si>
  <si>
    <t>pg</t>
  </si>
  <si>
    <t>vis</t>
  </si>
  <si>
    <t>PE</t>
  </si>
  <si>
    <t>CCD</t>
  </si>
  <si>
    <t>BAD?</t>
  </si>
  <si>
    <t>VSX -- modified</t>
  </si>
  <si>
    <t>VSX period 2018-09-11</t>
  </si>
  <si>
    <t>E</t>
  </si>
  <si>
    <t>Calc_P</t>
  </si>
  <si>
    <t>Calc_S</t>
  </si>
  <si>
    <t>cycles</t>
  </si>
  <si>
    <t>days</t>
  </si>
  <si>
    <t>years</t>
  </si>
  <si>
    <t>=</t>
  </si>
  <si>
    <t>Ampl =</t>
  </si>
  <si>
    <t>Eo =</t>
  </si>
  <si>
    <t>(O-C)o =</t>
  </si>
  <si>
    <r>
      <t>diff</t>
    </r>
    <r>
      <rPr>
        <vertAlign val="superscript"/>
        <sz val="10"/>
        <rFont val="Arial"/>
        <family val="2"/>
      </rPr>
      <t>2</t>
    </r>
  </si>
  <si>
    <r>
      <t>Sum {diff</t>
    </r>
    <r>
      <rPr>
        <vertAlign val="superscript"/>
        <sz val="10"/>
        <rFont val="Arial"/>
        <family val="2"/>
      </rPr>
      <t>2}</t>
    </r>
  </si>
  <si>
    <t>JAVSO, 48, 250</t>
  </si>
  <si>
    <t>BMGA</t>
  </si>
  <si>
    <t>TESS/BAJ/RAA</t>
  </si>
  <si>
    <t>TESS</t>
  </si>
  <si>
    <t>Note Red are 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</si>
</sst>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56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7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6" xfId="0" applyBorder="1" applyAlignment="1"/>
    <xf numFmtId="0" fontId="15" fillId="0" borderId="7" xfId="0" applyFont="1" applyBorder="1" applyAlignment="1"/>
    <xf numFmtId="0" fontId="0" fillId="0" borderId="0" xfId="0" quotePrefix="1" applyAlignment="1">
      <alignment horizontal="right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7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166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Lup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6">
                    <c:v>0.01</c:v>
                  </c:pt>
                  <c:pt idx="17">
                    <c:v>1.4E-3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2E-3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1.1000000000000001E-3</c:v>
                  </c:pt>
                  <c:pt idx="26">
                    <c:v>2.2000000000000001E-3</c:v>
                  </c:pt>
                  <c:pt idx="27">
                    <c:v>6.3E-5</c:v>
                  </c:pt>
                  <c:pt idx="28">
                    <c:v>1.2199999999999999E-3</c:v>
                  </c:pt>
                  <c:pt idx="29">
                    <c:v>3.127E-3</c:v>
                  </c:pt>
                  <c:pt idx="30">
                    <c:v>1.08E-3</c:v>
                  </c:pt>
                  <c:pt idx="31">
                    <c:v>1.5399999999999999E-3</c:v>
                  </c:pt>
                  <c:pt idx="32">
                    <c:v>2.594E-3</c:v>
                  </c:pt>
                  <c:pt idx="33">
                    <c:v>9.8900000000000008E-4</c:v>
                  </c:pt>
                  <c:pt idx="34">
                    <c:v>4.6000000000000001E-4</c:v>
                  </c:pt>
                  <c:pt idx="35">
                    <c:v>1.0460000000000001E-3</c:v>
                  </c:pt>
                  <c:pt idx="36">
                    <c:v>2.2799999999999999E-3</c:v>
                  </c:pt>
                  <c:pt idx="37">
                    <c:v>4.0200000000000001E-4</c:v>
                  </c:pt>
                  <c:pt idx="38">
                    <c:v>1.031E-3</c:v>
                  </c:pt>
                  <c:pt idx="39">
                    <c:v>4.73E-4</c:v>
                  </c:pt>
                  <c:pt idx="40">
                    <c:v>1.049E-3</c:v>
                  </c:pt>
                  <c:pt idx="41">
                    <c:v>4.84E-4</c:v>
                  </c:pt>
                  <c:pt idx="42">
                    <c:v>1.1169999999999999E-3</c:v>
                  </c:pt>
                  <c:pt idx="43">
                    <c:v>1.952E-3</c:v>
                  </c:pt>
                  <c:pt idx="44">
                    <c:v>1.7539999999999999E-3</c:v>
                  </c:pt>
                  <c:pt idx="45">
                    <c:v>1.317E-3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6">
                    <c:v>0.01</c:v>
                  </c:pt>
                  <c:pt idx="17">
                    <c:v>1.4E-3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2E-3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1.1000000000000001E-3</c:v>
                  </c:pt>
                  <c:pt idx="26">
                    <c:v>2.2000000000000001E-3</c:v>
                  </c:pt>
                  <c:pt idx="27">
                    <c:v>6.3E-5</c:v>
                  </c:pt>
                  <c:pt idx="28">
                    <c:v>1.2199999999999999E-3</c:v>
                  </c:pt>
                  <c:pt idx="29">
                    <c:v>3.127E-3</c:v>
                  </c:pt>
                  <c:pt idx="30">
                    <c:v>1.08E-3</c:v>
                  </c:pt>
                  <c:pt idx="31">
                    <c:v>1.5399999999999999E-3</c:v>
                  </c:pt>
                  <c:pt idx="32">
                    <c:v>2.594E-3</c:v>
                  </c:pt>
                  <c:pt idx="33">
                    <c:v>9.8900000000000008E-4</c:v>
                  </c:pt>
                  <c:pt idx="34">
                    <c:v>4.6000000000000001E-4</c:v>
                  </c:pt>
                  <c:pt idx="35">
                    <c:v>1.0460000000000001E-3</c:v>
                  </c:pt>
                  <c:pt idx="36">
                    <c:v>2.2799999999999999E-3</c:v>
                  </c:pt>
                  <c:pt idx="37">
                    <c:v>4.0200000000000001E-4</c:v>
                  </c:pt>
                  <c:pt idx="38">
                    <c:v>1.031E-3</c:v>
                  </c:pt>
                  <c:pt idx="39">
                    <c:v>4.73E-4</c:v>
                  </c:pt>
                  <c:pt idx="40">
                    <c:v>1.049E-3</c:v>
                  </c:pt>
                  <c:pt idx="41">
                    <c:v>4.84E-4</c:v>
                  </c:pt>
                  <c:pt idx="42">
                    <c:v>1.1169999999999999E-3</c:v>
                  </c:pt>
                  <c:pt idx="43">
                    <c:v>1.952E-3</c:v>
                  </c:pt>
                  <c:pt idx="44">
                    <c:v>1.7539999999999999E-3</c:v>
                  </c:pt>
                  <c:pt idx="45">
                    <c:v>1.317E-3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">
                  <c:v>3.6200000009557698E-2</c:v>
                </c:pt>
                <c:pt idx="3">
                  <c:v>2.4299999997310806E-2</c:v>
                </c:pt>
                <c:pt idx="4">
                  <c:v>3.5500000005413312E-2</c:v>
                </c:pt>
                <c:pt idx="5">
                  <c:v>2.1800000002258457E-2</c:v>
                </c:pt>
                <c:pt idx="6">
                  <c:v>2.3300000000745058E-2</c:v>
                </c:pt>
                <c:pt idx="7">
                  <c:v>3.4300000006624032E-2</c:v>
                </c:pt>
                <c:pt idx="8">
                  <c:v>1.8600000003061723E-2</c:v>
                </c:pt>
                <c:pt idx="9">
                  <c:v>1.6700000000128057E-2</c:v>
                </c:pt>
                <c:pt idx="10">
                  <c:v>4.3500000007043127E-2</c:v>
                </c:pt>
                <c:pt idx="11">
                  <c:v>1.0000000002037268E-2</c:v>
                </c:pt>
                <c:pt idx="12">
                  <c:v>4.5000000005529728E-2</c:v>
                </c:pt>
                <c:pt idx="13">
                  <c:v>9.2000000076950528E-3</c:v>
                </c:pt>
                <c:pt idx="14">
                  <c:v>5.400000000372529E-2</c:v>
                </c:pt>
                <c:pt idx="15">
                  <c:v>-1.8999999956577085E-3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A-48B6-9A0E-3CFDD589924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EA-48B6-9A0E-3CFDD589924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EA-48B6-9A0E-3CFDD589924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6">
                  <c:v>0.12219999999797437</c:v>
                </c:pt>
                <c:pt idx="17">
                  <c:v>0.1211000000112108</c:v>
                </c:pt>
                <c:pt idx="18">
                  <c:v>0.12109999999665888</c:v>
                </c:pt>
                <c:pt idx="19">
                  <c:v>-6.3199999996868428E-2</c:v>
                </c:pt>
                <c:pt idx="20">
                  <c:v>0.12140000000363216</c:v>
                </c:pt>
                <c:pt idx="21">
                  <c:v>0.11850000000413274</c:v>
                </c:pt>
                <c:pt idx="22">
                  <c:v>-6.1399999998684507E-2</c:v>
                </c:pt>
                <c:pt idx="23">
                  <c:v>0.12070000000676373</c:v>
                </c:pt>
                <c:pt idx="24">
                  <c:v>0.12069999999948777</c:v>
                </c:pt>
                <c:pt idx="25">
                  <c:v>0.1201000001601642</c:v>
                </c:pt>
                <c:pt idx="26">
                  <c:v>-5.3399999997054692E-2</c:v>
                </c:pt>
                <c:pt idx="27">
                  <c:v>0.11837099999684142</c:v>
                </c:pt>
                <c:pt idx="28">
                  <c:v>0.1175799999764422</c:v>
                </c:pt>
                <c:pt idx="31">
                  <c:v>-5.0910000107251108E-2</c:v>
                </c:pt>
                <c:pt idx="36">
                  <c:v>-5.0529999993159436E-2</c:v>
                </c:pt>
                <c:pt idx="43">
                  <c:v>0.1102330001667724</c:v>
                </c:pt>
                <c:pt idx="44">
                  <c:v>0.10963100021763239</c:v>
                </c:pt>
                <c:pt idx="45">
                  <c:v>0.10747400015679887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EA-48B6-9A0E-3CFDD589924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  <c:pt idx="29">
                  <c:v>0.11806051010353258</c:v>
                </c:pt>
                <c:pt idx="30">
                  <c:v>-5.1030749804340303E-2</c:v>
                </c:pt>
                <c:pt idx="32">
                  <c:v>0.11801930991350673</c:v>
                </c:pt>
                <c:pt idx="33">
                  <c:v>-5.0883739939308725E-2</c:v>
                </c:pt>
                <c:pt idx="34">
                  <c:v>0.11754446980921784</c:v>
                </c:pt>
                <c:pt idx="35">
                  <c:v>-5.0945240000146441E-2</c:v>
                </c:pt>
                <c:pt idx="37">
                  <c:v>0.11303988019062672</c:v>
                </c:pt>
                <c:pt idx="38">
                  <c:v>-4.5521349828050006E-2</c:v>
                </c:pt>
                <c:pt idx="39">
                  <c:v>0.11317917001724709</c:v>
                </c:pt>
                <c:pt idx="40">
                  <c:v>-4.5304209823370911E-2</c:v>
                </c:pt>
                <c:pt idx="41">
                  <c:v>0.11262419998820405</c:v>
                </c:pt>
                <c:pt idx="42">
                  <c:v>-4.5337359799304977E-2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EA-48B6-9A0E-3CFDD589924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EA-48B6-9A0E-3CFDD589924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EA-48B6-9A0E-3CFDD5899249}"/>
            </c:ext>
          </c:extLst>
        </c:ser>
        <c:ser>
          <c:idx val="7"/>
          <c:order val="7"/>
          <c:tx>
            <c:strRef>
              <c:f>'Active 1'!$Z$10</c:f>
              <c:strCache>
                <c:ptCount val="1"/>
                <c:pt idx="0">
                  <c:v>Calc_P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1'!$Y$11:$Y$66</c:f>
              <c:numCache>
                <c:formatCode>General</c:formatCode>
                <c:ptCount val="56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</c:numCache>
            </c:numRef>
          </c:xVal>
          <c:yVal>
            <c:numRef>
              <c:f>'Active 1'!$Z$11:$Z$66</c:f>
              <c:numCache>
                <c:formatCode>General</c:formatCode>
                <c:ptCount val="56"/>
                <c:pt idx="0">
                  <c:v>-5.7229803597303508E-2</c:v>
                </c:pt>
                <c:pt idx="1">
                  <c:v>-5.9684339481978876E-2</c:v>
                </c:pt>
                <c:pt idx="2">
                  <c:v>-6.1632758334771984E-2</c:v>
                </c:pt>
                <c:pt idx="3">
                  <c:v>-6.3063878100619433E-2</c:v>
                </c:pt>
                <c:pt idx="4">
                  <c:v>-6.3969485524962941E-2</c:v>
                </c:pt>
                <c:pt idx="5">
                  <c:v>-6.4344383289951457E-2</c:v>
                </c:pt>
                <c:pt idx="6">
                  <c:v>-6.4186419842059833E-2</c:v>
                </c:pt>
                <c:pt idx="7">
                  <c:v>-6.3496501739941896E-2</c:v>
                </c:pt>
                <c:pt idx="8">
                  <c:v>-6.2278588451653571E-2</c:v>
                </c:pt>
                <c:pt idx="9">
                  <c:v>-6.0539669631104534E-2</c:v>
                </c:pt>
                <c:pt idx="10">
                  <c:v>-5.8289725004150167E-2</c:v>
                </c:pt>
                <c:pt idx="11">
                  <c:v>-5.5541667094538755E-2</c:v>
                </c:pt>
                <c:pt idx="12">
                  <c:v>-5.2311267118412455E-2</c:v>
                </c:pt>
                <c:pt idx="13">
                  <c:v>-4.8617064472656235E-2</c:v>
                </c:pt>
                <c:pt idx="14">
                  <c:v>-4.4480260336544841E-2</c:v>
                </c:pt>
                <c:pt idx="15">
                  <c:v>-3.9924595997312559E-2</c:v>
                </c:pt>
                <c:pt idx="16">
                  <c:v>-3.4976216597939702E-2</c:v>
                </c:pt>
                <c:pt idx="17">
                  <c:v>-2.9663521089113604E-2</c:v>
                </c:pt>
                <c:pt idx="18">
                  <c:v>-2.4016999246495148E-2</c:v>
                </c:pt>
                <c:pt idx="19">
                  <c:v>-1.8069056688655862E-2</c:v>
                </c:pt>
                <c:pt idx="20">
                  <c:v>-1.185382889991457E-2</c:v>
                </c:pt>
                <c:pt idx="21">
                  <c:v>-5.4069853254042344E-3</c:v>
                </c:pt>
                <c:pt idx="22">
                  <c:v>1.2344753373249272E-3</c:v>
                </c:pt>
                <c:pt idx="23">
                  <c:v>8.0324374753357949E-3</c:v>
                </c:pt>
                <c:pt idx="24">
                  <c:v>1.4947887307357669E-2</c:v>
                </c:pt>
                <c:pt idx="25">
                  <c:v>2.1941136785464201E-2</c:v>
                </c:pt>
                <c:pt idx="26">
                  <c:v>2.8972051366395035E-2</c:v>
                </c:pt>
                <c:pt idx="27">
                  <c:v>3.6000280345332397E-2</c:v>
                </c:pt>
                <c:pt idx="28">
                  <c:v>4.2985488430237598E-2</c:v>
                </c:pt>
                <c:pt idx="29">
                  <c:v>4.9887587227733017E-2</c:v>
                </c:pt>
                <c:pt idx="30">
                  <c:v>5.6666965312022602E-2</c:v>
                </c:pt>
                <c:pt idx="31">
                  <c:v>6.3284715556476037E-2</c:v>
                </c:pt>
                <c:pt idx="32">
                  <c:v>6.9702858423211278E-2</c:v>
                </c:pt>
                <c:pt idx="33">
                  <c:v>7.5884559929207646E-2</c:v>
                </c:pt>
                <c:pt idx="34">
                  <c:v>8.1794343038032818E-2</c:v>
                </c:pt>
                <c:pt idx="35">
                  <c:v>8.7398291263998285E-2</c:v>
                </c:pt>
                <c:pt idx="36">
                  <c:v>9.2664243320250514E-2</c:v>
                </c:pt>
                <c:pt idx="37">
                  <c:v>9.7561977693704588E-2</c:v>
                </c:pt>
                <c:pt idx="38">
                  <c:v>0.10206338608753736</c:v>
                </c:pt>
                <c:pt idx="39">
                  <c:v>0.10614263473584636</c:v>
                </c:pt>
                <c:pt idx="40">
                  <c:v>0.10977631266468339</c:v>
                </c:pt>
                <c:pt idx="41">
                  <c:v>0.11294356604858639</c:v>
                </c:pt>
                <c:pt idx="42">
                  <c:v>0.11562621789153217</c:v>
                </c:pt>
                <c:pt idx="43">
                  <c:v>0.11780887234545608</c:v>
                </c:pt>
                <c:pt idx="44">
                  <c:v>0.11947900306765039</c:v>
                </c:pt>
                <c:pt idx="45">
                  <c:v>0.12062702510995468</c:v>
                </c:pt>
                <c:pt idx="46">
                  <c:v>0.12124634992716335</c:v>
                </c:pt>
                <c:pt idx="47">
                  <c:v>0.12133342318895454</c:v>
                </c:pt>
                <c:pt idx="48">
                  <c:v>0.12088774517833641</c:v>
                </c:pt>
                <c:pt idx="49">
                  <c:v>0.11991187365954338</c:v>
                </c:pt>
                <c:pt idx="50">
                  <c:v>0.11841140919892305</c:v>
                </c:pt>
                <c:pt idx="51">
                  <c:v>0.11639496302305816</c:v>
                </c:pt>
                <c:pt idx="52">
                  <c:v>0.11387410759858677</c:v>
                </c:pt>
                <c:pt idx="53">
                  <c:v>0.11086331021734561</c:v>
                </c:pt>
                <c:pt idx="54">
                  <c:v>0.1073798499679935</c:v>
                </c:pt>
                <c:pt idx="55">
                  <c:v>0.10344371857061868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EA-48B6-9A0E-3CFDD5899249}"/>
            </c:ext>
          </c:extLst>
        </c:ser>
        <c:ser>
          <c:idx val="8"/>
          <c:order val="8"/>
          <c:tx>
            <c:strRef>
              <c:f>'Active 1'!$AA$10</c:f>
              <c:strCache>
                <c:ptCount val="1"/>
                <c:pt idx="0">
                  <c:v>Calc_S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1'!$Y$11:$Y$66</c:f>
              <c:numCache>
                <c:formatCode>General</c:formatCode>
                <c:ptCount val="56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</c:numCache>
            </c:numRef>
          </c:xVal>
          <c:yVal>
            <c:numRef>
              <c:f>'Active 1'!$AA$11:$AA$66</c:f>
              <c:numCache>
                <c:formatCode>General</c:formatCode>
                <c:ptCount val="56"/>
                <c:pt idx="0">
                  <c:v>0.11423800009005255</c:v>
                </c:pt>
                <c:pt idx="1">
                  <c:v>0.11669253597472792</c:v>
                </c:pt>
                <c:pt idx="2">
                  <c:v>0.11864095482752103</c:v>
                </c:pt>
                <c:pt idx="3">
                  <c:v>0.12007207459336848</c:v>
                </c:pt>
                <c:pt idx="4">
                  <c:v>0.12097768201771199</c:v>
                </c:pt>
                <c:pt idx="5">
                  <c:v>0.1213525797827005</c:v>
                </c:pt>
                <c:pt idx="6">
                  <c:v>0.12119461633480888</c:v>
                </c:pt>
                <c:pt idx="7">
                  <c:v>0.12050469823269094</c:v>
                </c:pt>
                <c:pt idx="8">
                  <c:v>0.11928678494440262</c:v>
                </c:pt>
                <c:pt idx="9">
                  <c:v>0.11754786612385358</c:v>
                </c:pt>
                <c:pt idx="10">
                  <c:v>0.11529792149689921</c:v>
                </c:pt>
                <c:pt idx="11">
                  <c:v>0.1125498635872878</c:v>
                </c:pt>
                <c:pt idx="12">
                  <c:v>0.1093194636111615</c:v>
                </c:pt>
                <c:pt idx="13">
                  <c:v>0.10562526096540528</c:v>
                </c:pt>
                <c:pt idx="14">
                  <c:v>0.10148845682929389</c:v>
                </c:pt>
                <c:pt idx="15">
                  <c:v>9.6932792490061606E-2</c:v>
                </c:pt>
                <c:pt idx="16">
                  <c:v>9.1984413090688749E-2</c:v>
                </c:pt>
                <c:pt idx="17">
                  <c:v>8.6671717581862651E-2</c:v>
                </c:pt>
                <c:pt idx="18">
                  <c:v>8.1025195739244188E-2</c:v>
                </c:pt>
                <c:pt idx="19">
                  <c:v>7.5077253181404902E-2</c:v>
                </c:pt>
                <c:pt idx="20">
                  <c:v>6.8862025392663617E-2</c:v>
                </c:pt>
                <c:pt idx="21">
                  <c:v>6.2415181818153281E-2</c:v>
                </c:pt>
                <c:pt idx="22">
                  <c:v>5.5773721155424116E-2</c:v>
                </c:pt>
                <c:pt idx="23">
                  <c:v>4.8975759017413252E-2</c:v>
                </c:pt>
                <c:pt idx="24">
                  <c:v>4.206030918539138E-2</c:v>
                </c:pt>
                <c:pt idx="25">
                  <c:v>3.5067059707284846E-2</c:v>
                </c:pt>
                <c:pt idx="26">
                  <c:v>2.8036145126354012E-2</c:v>
                </c:pt>
                <c:pt idx="27">
                  <c:v>2.1007916147416653E-2</c:v>
                </c:pt>
                <c:pt idx="28">
                  <c:v>1.4022708062511453E-2</c:v>
                </c:pt>
                <c:pt idx="29">
                  <c:v>7.1206092650160299E-3</c:v>
                </c:pt>
                <c:pt idx="30">
                  <c:v>3.4123118072644509E-4</c:v>
                </c:pt>
                <c:pt idx="31">
                  <c:v>-6.2765190637269902E-3</c:v>
                </c:pt>
                <c:pt idx="32">
                  <c:v>-1.2694661930462238E-2</c:v>
                </c:pt>
                <c:pt idx="33">
                  <c:v>-1.8876363436458592E-2</c:v>
                </c:pt>
                <c:pt idx="34">
                  <c:v>-2.4786146545283771E-2</c:v>
                </c:pt>
                <c:pt idx="35">
                  <c:v>-3.0390094771249244E-2</c:v>
                </c:pt>
                <c:pt idx="36">
                  <c:v>-3.5656046827501467E-2</c:v>
                </c:pt>
                <c:pt idx="37">
                  <c:v>-4.0553781200955541E-2</c:v>
                </c:pt>
                <c:pt idx="38">
                  <c:v>-4.5055189594788311E-2</c:v>
                </c:pt>
                <c:pt idx="39">
                  <c:v>-4.9134438243097309E-2</c:v>
                </c:pt>
                <c:pt idx="40">
                  <c:v>-5.2768116171934346E-2</c:v>
                </c:pt>
                <c:pt idx="41">
                  <c:v>-5.5935369555837347E-2</c:v>
                </c:pt>
                <c:pt idx="42">
                  <c:v>-5.8618021398783124E-2</c:v>
                </c:pt>
                <c:pt idx="43">
                  <c:v>-6.0800675852707028E-2</c:v>
                </c:pt>
                <c:pt idx="44">
                  <c:v>-6.2470806574901339E-2</c:v>
                </c:pt>
                <c:pt idx="45">
                  <c:v>-6.3618828617205636E-2</c:v>
                </c:pt>
                <c:pt idx="46">
                  <c:v>-6.4238153434414302E-2</c:v>
                </c:pt>
                <c:pt idx="47">
                  <c:v>-6.4325226696205495E-2</c:v>
                </c:pt>
                <c:pt idx="48">
                  <c:v>-6.3879548685587359E-2</c:v>
                </c:pt>
                <c:pt idx="49">
                  <c:v>-6.2903677166794333E-2</c:v>
                </c:pt>
                <c:pt idx="50">
                  <c:v>-6.1403212706174007E-2</c:v>
                </c:pt>
                <c:pt idx="51">
                  <c:v>-5.938676653030911E-2</c:v>
                </c:pt>
                <c:pt idx="52">
                  <c:v>-5.6865911105837719E-2</c:v>
                </c:pt>
                <c:pt idx="53">
                  <c:v>-5.3855113724596559E-2</c:v>
                </c:pt>
                <c:pt idx="54">
                  <c:v>-5.0371653475244457E-2</c:v>
                </c:pt>
                <c:pt idx="55">
                  <c:v>-4.6435522077869634E-2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EA-48B6-9A0E-3CFDD589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2032"/>
        <c:axId val="1"/>
      </c:scatterChart>
      <c:valAx>
        <c:axId val="95237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8709677419354"/>
          <c:y val="0.92097264437689974"/>
          <c:w val="0.7935483870967741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Lup - Prim. O-C Diagr.</a:t>
            </a:r>
          </a:p>
        </c:rich>
      </c:tx>
      <c:layout>
        <c:manualLayout>
          <c:xMode val="edge"/>
          <c:yMode val="edge"/>
          <c:x val="0.2952185134862300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414456686540114"/>
          <c:w val="0.76091553334883111"/>
          <c:h val="0.63663850365552166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3">
                  <c:v>2.4299999997310806E-2</c:v>
                </c:pt>
                <c:pt idx="5">
                  <c:v>2.1800000002258457E-2</c:v>
                </c:pt>
                <c:pt idx="7">
                  <c:v>3.4300000006624032E-2</c:v>
                </c:pt>
                <c:pt idx="10">
                  <c:v>4.3500000007043127E-2</c:v>
                </c:pt>
                <c:pt idx="12">
                  <c:v>4.5000000005529728E-2</c:v>
                </c:pt>
                <c:pt idx="14">
                  <c:v>5.400000000372529E-2</c:v>
                </c:pt>
                <c:pt idx="16">
                  <c:v>0.12219999999797437</c:v>
                </c:pt>
                <c:pt idx="17">
                  <c:v>0.1211000000112108</c:v>
                </c:pt>
                <c:pt idx="18">
                  <c:v>0.12109999999665888</c:v>
                </c:pt>
                <c:pt idx="20">
                  <c:v>0.12140000000363216</c:v>
                </c:pt>
                <c:pt idx="21">
                  <c:v>0.11850000000413274</c:v>
                </c:pt>
                <c:pt idx="23">
                  <c:v>0.12070000000676373</c:v>
                </c:pt>
                <c:pt idx="24">
                  <c:v>0.12069999999948777</c:v>
                </c:pt>
                <c:pt idx="25">
                  <c:v>0.1201000001601642</c:v>
                </c:pt>
                <c:pt idx="27">
                  <c:v>0.11837099999684142</c:v>
                </c:pt>
                <c:pt idx="28">
                  <c:v>0.1175799999764422</c:v>
                </c:pt>
                <c:pt idx="29">
                  <c:v>0.11806051010353258</c:v>
                </c:pt>
                <c:pt idx="32">
                  <c:v>0.11801930991350673</c:v>
                </c:pt>
                <c:pt idx="34">
                  <c:v>0.11754446980921784</c:v>
                </c:pt>
                <c:pt idx="37">
                  <c:v>0.11303988019062672</c:v>
                </c:pt>
                <c:pt idx="39">
                  <c:v>0.11317917001724709</c:v>
                </c:pt>
                <c:pt idx="41">
                  <c:v>0.11262419998820405</c:v>
                </c:pt>
                <c:pt idx="43">
                  <c:v>0.1102330001667724</c:v>
                </c:pt>
                <c:pt idx="44">
                  <c:v>0.10963100021763239</c:v>
                </c:pt>
                <c:pt idx="45">
                  <c:v>0.10747400015679887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63-4C93-B3C8-0ABF5C519D28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15">
                  <c:v>0.1457258423431432</c:v>
                </c:pt>
                <c:pt idx="16">
                  <c:v>0.12503744331185271</c:v>
                </c:pt>
                <c:pt idx="17">
                  <c:v>0.12310445695677755</c:v>
                </c:pt>
                <c:pt idx="18">
                  <c:v>0.12307178676486077</c:v>
                </c:pt>
                <c:pt idx="19">
                  <c:v>0.12306906424886771</c:v>
                </c:pt>
                <c:pt idx="20">
                  <c:v>0.12306089670088852</c:v>
                </c:pt>
                <c:pt idx="21">
                  <c:v>0.12078487333068734</c:v>
                </c:pt>
                <c:pt idx="22">
                  <c:v>0.12071681043086074</c:v>
                </c:pt>
                <c:pt idx="23">
                  <c:v>0.11865042079212546</c:v>
                </c:pt>
                <c:pt idx="24">
                  <c:v>0.11857419034431967</c:v>
                </c:pt>
                <c:pt idx="25">
                  <c:v>0.11748518394709422</c:v>
                </c:pt>
                <c:pt idx="26">
                  <c:v>0.11644790535373697</c:v>
                </c:pt>
                <c:pt idx="27">
                  <c:v>0.1164397378057578</c:v>
                </c:pt>
                <c:pt idx="28">
                  <c:v>0.11564476313578322</c:v>
                </c:pt>
                <c:pt idx="29">
                  <c:v>0.1156229830078387</c:v>
                </c:pt>
                <c:pt idx="30">
                  <c:v>0.11562026049184564</c:v>
                </c:pt>
                <c:pt idx="31">
                  <c:v>0.11562026049184564</c:v>
                </c:pt>
                <c:pt idx="32">
                  <c:v>0.11557942275194968</c:v>
                </c:pt>
                <c:pt idx="33">
                  <c:v>0.11557670023595662</c:v>
                </c:pt>
                <c:pt idx="34">
                  <c:v>0.11555764262400517</c:v>
                </c:pt>
                <c:pt idx="35">
                  <c:v>0.1155549201080121</c:v>
                </c:pt>
                <c:pt idx="36">
                  <c:v>0.11539701418041443</c:v>
                </c:pt>
                <c:pt idx="37">
                  <c:v>0.11345586027736006</c:v>
                </c:pt>
                <c:pt idx="38">
                  <c:v>0.11345313776136699</c:v>
                </c:pt>
                <c:pt idx="39">
                  <c:v>0.11341774505345717</c:v>
                </c:pt>
                <c:pt idx="40">
                  <c:v>0.11341502253746411</c:v>
                </c:pt>
                <c:pt idx="41">
                  <c:v>0.1133850748615404</c:v>
                </c:pt>
                <c:pt idx="42">
                  <c:v>0.11338235234554733</c:v>
                </c:pt>
                <c:pt idx="43">
                  <c:v>0.11227428833637045</c:v>
                </c:pt>
                <c:pt idx="44">
                  <c:v>0.11224161814445369</c:v>
                </c:pt>
                <c:pt idx="45">
                  <c:v>0.1110055958836028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63-4C93-B3C8-0ABF5C51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8752"/>
        <c:axId val="1"/>
      </c:scatterChart>
      <c:valAx>
        <c:axId val="95236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8752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192475940507435"/>
          <c:w val="0.3035345218022383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Lup - Sec. O-C Diagr.</a:t>
            </a:r>
          </a:p>
        </c:rich>
      </c:tx>
      <c:layout>
        <c:manualLayout>
          <c:xMode val="edge"/>
          <c:yMode val="edge"/>
          <c:x val="0.3040818469119931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371278494688106"/>
          <c:w val="0.76530688507143363"/>
          <c:h val="0.63772548320178468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2">
                  <c:v>3.6200000009557698E-2</c:v>
                </c:pt>
                <c:pt idx="4">
                  <c:v>3.5500000005413312E-2</c:v>
                </c:pt>
                <c:pt idx="6">
                  <c:v>2.3300000000745058E-2</c:v>
                </c:pt>
                <c:pt idx="8">
                  <c:v>1.8600000003061723E-2</c:v>
                </c:pt>
                <c:pt idx="9">
                  <c:v>1.6700000000128057E-2</c:v>
                </c:pt>
                <c:pt idx="11">
                  <c:v>1.0000000002037268E-2</c:v>
                </c:pt>
                <c:pt idx="13">
                  <c:v>9.2000000076950528E-3</c:v>
                </c:pt>
                <c:pt idx="15">
                  <c:v>-1.8999999956577085E-3</c:v>
                </c:pt>
                <c:pt idx="19">
                  <c:v>-6.3199999996868428E-2</c:v>
                </c:pt>
                <c:pt idx="22">
                  <c:v>-6.1399999998684507E-2</c:v>
                </c:pt>
                <c:pt idx="26">
                  <c:v>-5.3399999997054692E-2</c:v>
                </c:pt>
                <c:pt idx="30">
                  <c:v>-5.1030749804340303E-2</c:v>
                </c:pt>
                <c:pt idx="31">
                  <c:v>-5.0910000107251108E-2</c:v>
                </c:pt>
                <c:pt idx="33">
                  <c:v>-5.0883739939308725E-2</c:v>
                </c:pt>
                <c:pt idx="35">
                  <c:v>-5.0945240000146441E-2</c:v>
                </c:pt>
                <c:pt idx="36">
                  <c:v>-5.0529999993159436E-2</c:v>
                </c:pt>
                <c:pt idx="38">
                  <c:v>-4.5521349828050006E-2</c:v>
                </c:pt>
                <c:pt idx="40">
                  <c:v>-4.5304209823370911E-2</c:v>
                </c:pt>
                <c:pt idx="42">
                  <c:v>-4.5337359799304977E-2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F-4125-9407-4515742BAFB2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</c:v>
                </c:pt>
                <c:pt idx="30">
                  <c:v>13012.5</c:v>
                </c:pt>
                <c:pt idx="31">
                  <c:v>13012.5</c:v>
                </c:pt>
                <c:pt idx="32">
                  <c:v>13020</c:v>
                </c:pt>
                <c:pt idx="33">
                  <c:v>13020.5</c:v>
                </c:pt>
                <c:pt idx="34">
                  <c:v>13024</c:v>
                </c:pt>
                <c:pt idx="35">
                  <c:v>13024.5</c:v>
                </c:pt>
                <c:pt idx="36">
                  <c:v>13053.5</c:v>
                </c:pt>
                <c:pt idx="37">
                  <c:v>13410</c:v>
                </c:pt>
                <c:pt idx="38">
                  <c:v>13410.5</c:v>
                </c:pt>
                <c:pt idx="39">
                  <c:v>13417</c:v>
                </c:pt>
                <c:pt idx="40">
                  <c:v>13417.5</c:v>
                </c:pt>
                <c:pt idx="41">
                  <c:v>13423</c:v>
                </c:pt>
                <c:pt idx="42">
                  <c:v>13423.5</c:v>
                </c:pt>
                <c:pt idx="43">
                  <c:v>13627</c:v>
                </c:pt>
                <c:pt idx="44">
                  <c:v>13633</c:v>
                </c:pt>
                <c:pt idx="45">
                  <c:v>13860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15">
                  <c:v>-0.10840492733528689</c:v>
                </c:pt>
                <c:pt idx="16">
                  <c:v>-6.8650812516771159E-2</c:v>
                </c:pt>
                <c:pt idx="17">
                  <c:v>-6.493645253241187E-2</c:v>
                </c:pt>
                <c:pt idx="18">
                  <c:v>-6.4873674617183269E-2</c:v>
                </c:pt>
                <c:pt idx="19">
                  <c:v>-6.4868443124247555E-2</c:v>
                </c:pt>
                <c:pt idx="20">
                  <c:v>-6.4852748645440397E-2</c:v>
                </c:pt>
                <c:pt idx="21">
                  <c:v>-6.047922055118074E-2</c:v>
                </c:pt>
                <c:pt idx="22">
                  <c:v>-6.0348433227787796E-2</c:v>
                </c:pt>
                <c:pt idx="23">
                  <c:v>-5.6377730089578387E-2</c:v>
                </c:pt>
                <c:pt idx="24">
                  <c:v>-5.6231248287378299E-2</c:v>
                </c:pt>
                <c:pt idx="25">
                  <c:v>-5.4138651113091379E-2</c:v>
                </c:pt>
                <c:pt idx="26">
                  <c:v>-5.214545230458309E-2</c:v>
                </c:pt>
                <c:pt idx="27">
                  <c:v>-5.2129757825775919E-2</c:v>
                </c:pt>
                <c:pt idx="28">
                  <c:v>-5.0602161888546493E-2</c:v>
                </c:pt>
                <c:pt idx="29">
                  <c:v>-5.056030994506075E-2</c:v>
                </c:pt>
                <c:pt idx="30">
                  <c:v>-5.0555078452125035E-2</c:v>
                </c:pt>
                <c:pt idx="31">
                  <c:v>-5.0555078452125035E-2</c:v>
                </c:pt>
                <c:pt idx="32">
                  <c:v>-5.0476606058089263E-2</c:v>
                </c:pt>
                <c:pt idx="33">
                  <c:v>-5.0471374565153548E-2</c:v>
                </c:pt>
                <c:pt idx="34">
                  <c:v>-5.0434754114603519E-2</c:v>
                </c:pt>
                <c:pt idx="35">
                  <c:v>-5.0429522621667805E-2</c:v>
                </c:pt>
                <c:pt idx="36">
                  <c:v>-5.01260960313962E-2</c:v>
                </c:pt>
                <c:pt idx="37">
                  <c:v>-4.6396041568229768E-2</c:v>
                </c:pt>
                <c:pt idx="38">
                  <c:v>-4.6390810075294053E-2</c:v>
                </c:pt>
                <c:pt idx="39">
                  <c:v>-4.6322800667129738E-2</c:v>
                </c:pt>
                <c:pt idx="40">
                  <c:v>-4.6317569174194023E-2</c:v>
                </c:pt>
                <c:pt idx="41">
                  <c:v>-4.6260022751901136E-2</c:v>
                </c:pt>
                <c:pt idx="42">
                  <c:v>-4.6254791258965394E-2</c:v>
                </c:pt>
                <c:pt idx="43">
                  <c:v>-4.4125573634128473E-2</c:v>
                </c:pt>
                <c:pt idx="44">
                  <c:v>-4.4062795718899844E-2</c:v>
                </c:pt>
                <c:pt idx="45">
                  <c:v>-4.1687697926084205E-2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EF-4125-9407-4515742BA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1376"/>
        <c:axId val="1"/>
      </c:scatterChart>
      <c:valAx>
        <c:axId val="95237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215694595061837"/>
          <c:w val="0.3306126734158230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0</xdr:row>
      <xdr:rowOff>47625</xdr:rowOff>
    </xdr:from>
    <xdr:to>
      <xdr:col>20</xdr:col>
      <xdr:colOff>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2E647C1-F383-08DC-E5BC-E06684756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13</xdr:col>
      <xdr:colOff>495300</xdr:colOff>
      <xdr:row>22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98A672-3617-B315-FE26-54A8098155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209549</xdr:colOff>
      <xdr:row>23</xdr:row>
      <xdr:rowOff>9524</xdr:rowOff>
    </xdr:from>
    <xdr:to>
      <xdr:col>13</xdr:col>
      <xdr:colOff>466724</xdr:colOff>
      <xdr:row>44</xdr:row>
      <xdr:rowOff>28574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D9CD604-4535-67C4-727D-50BA61C69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8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71" sqref="F7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140625" customWidth="1"/>
    <col min="4" max="4" width="8.28515625" customWidth="1"/>
    <col min="5" max="5" width="9.42578125" customWidth="1"/>
    <col min="6" max="6" width="16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2" width="10.28515625" customWidth="1"/>
    <col min="23" max="24" width="12.42578125" bestFit="1" customWidth="1"/>
  </cols>
  <sheetData>
    <row r="1" spans="1:27" ht="20.25" x14ac:dyDescent="0.3">
      <c r="A1" s="1" t="s">
        <v>41</v>
      </c>
      <c r="F1" s="62" t="s">
        <v>72</v>
      </c>
      <c r="Y1" s="36" t="s">
        <v>65</v>
      </c>
      <c r="Z1" s="37">
        <v>2.8504098246374523E-2</v>
      </c>
    </row>
    <row r="2" spans="1:27" ht="12.95" customHeight="1" x14ac:dyDescent="0.2">
      <c r="A2" t="s">
        <v>19</v>
      </c>
      <c r="B2" s="9" t="s">
        <v>42</v>
      </c>
      <c r="Y2" s="38" t="s">
        <v>64</v>
      </c>
      <c r="Z2" s="39">
        <v>6483.3737569252635</v>
      </c>
    </row>
    <row r="3" spans="1:27" ht="12.95" customHeight="1" thickBot="1" x14ac:dyDescent="0.25">
      <c r="C3" s="10"/>
      <c r="Y3" s="38" t="s">
        <v>63</v>
      </c>
      <c r="Z3" s="39">
        <v>9.2859536316845639E-2</v>
      </c>
    </row>
    <row r="4" spans="1:27" ht="12.95" customHeight="1" thickTop="1" thickBot="1" x14ac:dyDescent="0.25">
      <c r="A4" s="6" t="s">
        <v>2</v>
      </c>
      <c r="C4" s="3">
        <v>34532.324999999997</v>
      </c>
      <c r="D4" s="4">
        <v>2.1641750000000002</v>
      </c>
      <c r="Y4" s="40" t="s">
        <v>5</v>
      </c>
      <c r="Z4" s="41">
        <v>20729.857622001422</v>
      </c>
      <c r="AA4" t="s">
        <v>59</v>
      </c>
    </row>
    <row r="5" spans="1:27" ht="12.95" customHeight="1" thickTop="1" x14ac:dyDescent="0.2">
      <c r="A5" s="21" t="s">
        <v>33</v>
      </c>
      <c r="B5" s="15"/>
      <c r="C5" s="22">
        <v>-9.5</v>
      </c>
      <c r="D5" s="15" t="s">
        <v>34</v>
      </c>
      <c r="Y5" s="35" t="s">
        <v>62</v>
      </c>
      <c r="Z5">
        <f>Z4*C8</f>
        <v>38341.944657653825</v>
      </c>
      <c r="AA5" t="s">
        <v>60</v>
      </c>
    </row>
    <row r="6" spans="1:27" ht="12.95" customHeight="1" thickBot="1" x14ac:dyDescent="0.25">
      <c r="A6" s="6" t="s">
        <v>3</v>
      </c>
      <c r="Z6">
        <f>Z5/365.24</f>
        <v>104.97739748563636</v>
      </c>
      <c r="AA6" t="s">
        <v>61</v>
      </c>
    </row>
    <row r="7" spans="1:27" ht="12.95" customHeight="1" thickBot="1" x14ac:dyDescent="0.25">
      <c r="A7" t="s">
        <v>4</v>
      </c>
      <c r="C7">
        <v>34532.324999999997</v>
      </c>
      <c r="F7" s="33" t="s">
        <v>55</v>
      </c>
      <c r="W7" s="5" t="s">
        <v>67</v>
      </c>
      <c r="X7">
        <f>SUM(W21:X50)</f>
        <v>2.8577122905653944E-2</v>
      </c>
    </row>
    <row r="8" spans="1:27" ht="12.95" customHeight="1" thickBot="1" x14ac:dyDescent="0.25">
      <c r="A8" t="s">
        <v>5</v>
      </c>
      <c r="C8">
        <v>1.8495999999999999</v>
      </c>
      <c r="D8" t="s">
        <v>54</v>
      </c>
      <c r="F8" s="34">
        <v>1.8496109999999999</v>
      </c>
    </row>
    <row r="9" spans="1:27" ht="12.95" customHeight="1" x14ac:dyDescent="0.2">
      <c r="A9" s="13" t="s">
        <v>30</v>
      </c>
      <c r="B9" s="13"/>
      <c r="C9" s="14">
        <v>38</v>
      </c>
      <c r="D9" s="14">
        <v>38</v>
      </c>
    </row>
    <row r="10" spans="1:27" ht="12.95" customHeight="1" thickBot="1" x14ac:dyDescent="0.25">
      <c r="A10" s="15"/>
      <c r="B10" s="15"/>
      <c r="C10" s="5" t="s">
        <v>21</v>
      </c>
      <c r="D10" s="5" t="s">
        <v>22</v>
      </c>
      <c r="Y10" s="5" t="s">
        <v>56</v>
      </c>
      <c r="Z10" s="5" t="s">
        <v>57</v>
      </c>
      <c r="AA10" s="5" t="s">
        <v>58</v>
      </c>
    </row>
    <row r="11" spans="1:27" ht="12.95" customHeight="1" x14ac:dyDescent="0.2">
      <c r="A11" s="15" t="s">
        <v>16</v>
      </c>
      <c r="B11" s="15"/>
      <c r="C11" s="16">
        <f ca="1">INTERCEPT(INDIRECT(C14):R$935,INDIRECT(C13):$F$935)</f>
        <v>0.18647373921132646</v>
      </c>
      <c r="D11" s="16">
        <f ca="1">INTERCEPT(INDIRECT(D14):S$935,INDIRECT(D13):$F$935)</f>
        <v>-0.18670468210416769</v>
      </c>
      <c r="E11" s="13" t="s">
        <v>36</v>
      </c>
      <c r="F11">
        <v>1</v>
      </c>
      <c r="Y11">
        <v>0</v>
      </c>
      <c r="Z11">
        <f>$Z$3*SIN(($Y11-$Z$2)*2*PI()/$Z$4)+$Z$1</f>
        <v>-5.7229803597303508E-2</v>
      </c>
      <c r="AA11">
        <f t="shared" ref="AA11:AA42" si="0">-$Z$3*SIN(($Y11-$Z$2)*2*PI()/$Z$4)+$Z$1</f>
        <v>0.11423800009005255</v>
      </c>
    </row>
    <row r="12" spans="1:27" ht="12.95" customHeight="1" x14ac:dyDescent="0.2">
      <c r="A12" s="15" t="s">
        <v>17</v>
      </c>
      <c r="B12" s="15"/>
      <c r="C12" s="16">
        <f ca="1">SLOPE(INDIRECT(C14):R$935,INDIRECT(C13):$F$935)</f>
        <v>-5.4450319861272482E-6</v>
      </c>
      <c r="D12" s="16">
        <f ca="1">SLOPE(INDIRECT(D14):S$935,INDIRECT(D13):$F$935)</f>
        <v>1.0462985871434595E-5</v>
      </c>
      <c r="E12" s="13" t="s">
        <v>37</v>
      </c>
      <c r="F12" s="23">
        <f ca="1">NOW()+15018.5+$C$5/24</f>
        <v>60325.76728043981</v>
      </c>
      <c r="Y12">
        <v>250</v>
      </c>
      <c r="Z12">
        <f t="shared" ref="Z12:Z43" si="1">Z$3*SIN((Y12-Z$2)*2*PI()/Z$4)+Z$1</f>
        <v>-5.9684339481978876E-2</v>
      </c>
      <c r="AA12">
        <f t="shared" si="0"/>
        <v>0.11669253597472792</v>
      </c>
    </row>
    <row r="13" spans="1:27" ht="12.95" customHeight="1" x14ac:dyDescent="0.2">
      <c r="A13" s="13" t="s">
        <v>31</v>
      </c>
      <c r="B13" s="13"/>
      <c r="C13" s="14" t="str">
        <f>"F"&amp;C9</f>
        <v>F38</v>
      </c>
      <c r="D13" s="14" t="str">
        <f>"F"&amp;D9</f>
        <v>F38</v>
      </c>
      <c r="E13" s="13" t="s">
        <v>38</v>
      </c>
      <c r="F13" s="23">
        <f ca="1">ROUND(2*(F12-$C$7)/$C$8,0)/2+F11</f>
        <v>13946.5</v>
      </c>
      <c r="Y13">
        <v>500</v>
      </c>
      <c r="Z13">
        <f t="shared" si="1"/>
        <v>-6.1632758334771984E-2</v>
      </c>
      <c r="AA13">
        <f t="shared" si="0"/>
        <v>0.11864095482752103</v>
      </c>
    </row>
    <row r="14" spans="1:27" ht="12.95" customHeight="1" x14ac:dyDescent="0.2">
      <c r="A14" s="13" t="s">
        <v>32</v>
      </c>
      <c r="B14" s="13"/>
      <c r="C14" s="14" t="str">
        <f>"R"&amp;C9</f>
        <v>R38</v>
      </c>
      <c r="D14" s="14" t="str">
        <f>"S"&amp;D9</f>
        <v>S38</v>
      </c>
      <c r="E14" s="13" t="s">
        <v>39</v>
      </c>
      <c r="F14" s="24">
        <f ca="1">ROUND(2*(F12-$C$15)/$C$16,0)/2+F11</f>
        <v>86.5</v>
      </c>
      <c r="Y14">
        <v>750</v>
      </c>
      <c r="Z14">
        <f t="shared" si="1"/>
        <v>-6.3063878100619433E-2</v>
      </c>
      <c r="AA14">
        <f t="shared" si="0"/>
        <v>0.12007207459336848</v>
      </c>
    </row>
    <row r="15" spans="1:27" ht="12.95" customHeight="1" x14ac:dyDescent="0.2">
      <c r="A15" s="17" t="s">
        <v>18</v>
      </c>
      <c r="B15" s="15"/>
      <c r="C15" s="18">
        <f ca="1">($C7+C11)+($C8+C12)*INT(MAX($F21:$F3533))</f>
        <v>60167.892005595873</v>
      </c>
      <c r="D15" s="18">
        <f ca="1">($C7+D11)+($C8+D12)*INT(MAX($F21:$F3533))</f>
        <v>60167.739312302074</v>
      </c>
      <c r="E15" s="13" t="s">
        <v>40</v>
      </c>
      <c r="F15" s="25">
        <f ca="1">+$C$15+$C$16*F14-15018.5-$C$5/24</f>
        <v>45309.777767933942</v>
      </c>
      <c r="Y15">
        <v>1000</v>
      </c>
      <c r="Z15">
        <f t="shared" si="1"/>
        <v>-6.3969485524962941E-2</v>
      </c>
      <c r="AA15">
        <f t="shared" si="0"/>
        <v>0.12097768201771199</v>
      </c>
    </row>
    <row r="16" spans="1:27" ht="12.95" customHeight="1" x14ac:dyDescent="0.2">
      <c r="A16" s="19" t="s">
        <v>6</v>
      </c>
      <c r="B16" s="15"/>
      <c r="C16" s="20">
        <f ca="1">+$C8+C12</f>
        <v>1.8495945549680137</v>
      </c>
      <c r="D16" s="16">
        <f ca="1">+$C8+D12</f>
        <v>1.8496104629858714</v>
      </c>
      <c r="E16" s="26"/>
      <c r="F16" s="26" t="s">
        <v>35</v>
      </c>
      <c r="Y16">
        <v>1250</v>
      </c>
      <c r="Z16">
        <f t="shared" si="1"/>
        <v>-6.4344383289951457E-2</v>
      </c>
      <c r="AA16">
        <f t="shared" si="0"/>
        <v>0.1213525797827005</v>
      </c>
    </row>
    <row r="17" spans="1:27" ht="12.95" customHeight="1" thickBot="1" x14ac:dyDescent="0.25">
      <c r="A17" s="12" t="s">
        <v>29</v>
      </c>
      <c r="C17">
        <f>COUNT(C21:C1247)</f>
        <v>46</v>
      </c>
      <c r="Y17">
        <v>1500</v>
      </c>
      <c r="Z17">
        <f t="shared" si="1"/>
        <v>-6.4186419842059833E-2</v>
      </c>
      <c r="AA17">
        <f t="shared" si="0"/>
        <v>0.12119461633480888</v>
      </c>
    </row>
    <row r="18" spans="1:27" ht="12.95" customHeight="1" thickTop="1" thickBot="1" x14ac:dyDescent="0.25">
      <c r="A18" s="6" t="s">
        <v>24</v>
      </c>
      <c r="C18" s="3">
        <f ca="1">+C15</f>
        <v>60167.892005595873</v>
      </c>
      <c r="D18" s="4">
        <f ca="1">+C16</f>
        <v>1.8495945549680137</v>
      </c>
      <c r="E18" s="27">
        <f>R19</f>
        <v>25</v>
      </c>
      <c r="Y18">
        <v>1750</v>
      </c>
      <c r="Z18">
        <f t="shared" si="1"/>
        <v>-6.3496501739941896E-2</v>
      </c>
      <c r="AA18">
        <f t="shared" si="0"/>
        <v>0.12050469823269094</v>
      </c>
    </row>
    <row r="19" spans="1:27" ht="12.95" customHeight="1" thickTop="1" thickBot="1" x14ac:dyDescent="0.25">
      <c r="A19" s="6" t="s">
        <v>25</v>
      </c>
      <c r="C19" s="3">
        <f ca="1">+D15</f>
        <v>60167.739312302074</v>
      </c>
      <c r="D19" s="4">
        <f ca="1">+D16</f>
        <v>1.8496104629858714</v>
      </c>
      <c r="E19" s="27">
        <f>S19</f>
        <v>19</v>
      </c>
      <c r="R19">
        <f>COUNT(R21:R322)</f>
        <v>25</v>
      </c>
      <c r="S19">
        <f>COUNT(S21:S322)</f>
        <v>19</v>
      </c>
      <c r="Y19">
        <v>2000</v>
      </c>
      <c r="Z19">
        <f t="shared" si="1"/>
        <v>-6.2278588451653571E-2</v>
      </c>
      <c r="AA19">
        <f t="shared" si="0"/>
        <v>0.11928678494440262</v>
      </c>
    </row>
    <row r="20" spans="1:27" ht="12.95" customHeight="1" thickTop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49</v>
      </c>
      <c r="I20" s="8" t="s">
        <v>50</v>
      </c>
      <c r="J20" s="8" t="s">
        <v>51</v>
      </c>
      <c r="K20" s="8" t="s">
        <v>52</v>
      </c>
      <c r="L20" s="8" t="s">
        <v>71</v>
      </c>
      <c r="M20" s="8" t="s">
        <v>20</v>
      </c>
      <c r="N20" s="8" t="s">
        <v>23</v>
      </c>
      <c r="O20" s="8" t="s">
        <v>26</v>
      </c>
      <c r="P20" s="7" t="s">
        <v>27</v>
      </c>
      <c r="Q20" s="5" t="s">
        <v>15</v>
      </c>
      <c r="R20" s="7" t="s">
        <v>21</v>
      </c>
      <c r="S20" s="7" t="s">
        <v>22</v>
      </c>
      <c r="T20" s="5" t="s">
        <v>53</v>
      </c>
      <c r="U20" s="5" t="s">
        <v>57</v>
      </c>
      <c r="V20" s="5" t="s">
        <v>58</v>
      </c>
      <c r="W20" s="5" t="s">
        <v>66</v>
      </c>
      <c r="X20" s="5" t="s">
        <v>66</v>
      </c>
      <c r="Y20">
        <v>2250</v>
      </c>
      <c r="Z20">
        <f t="shared" si="1"/>
        <v>-6.0539669631104534E-2</v>
      </c>
      <c r="AA20">
        <f t="shared" si="0"/>
        <v>0.11754786612385358</v>
      </c>
    </row>
    <row r="21" spans="1:27" ht="12.95" customHeight="1" x14ac:dyDescent="0.2">
      <c r="A21" s="28" t="s">
        <v>13</v>
      </c>
      <c r="B21" s="28"/>
      <c r="C21" s="11">
        <v>34532.324999999997</v>
      </c>
      <c r="D21" s="11" t="s">
        <v>28</v>
      </c>
      <c r="E21">
        <f t="shared" ref="E21:E65" si="2">+(C21-C$7)/C$8</f>
        <v>0</v>
      </c>
      <c r="F21">
        <f t="shared" ref="F21:F66" si="3">ROUND(2*E21,0)/2</f>
        <v>0</v>
      </c>
      <c r="G21">
        <f t="shared" ref="G21:G65" si="4">+C21-(C$7+F21*C$8)</f>
        <v>0</v>
      </c>
      <c r="Q21" s="2">
        <f t="shared" ref="Q21:Q65" si="5">+C21-15018.5</f>
        <v>19513.824999999997</v>
      </c>
      <c r="T21">
        <f>+G21</f>
        <v>0</v>
      </c>
      <c r="Y21">
        <v>2500</v>
      </c>
      <c r="Z21">
        <f t="shared" si="1"/>
        <v>-5.8289725004150167E-2</v>
      </c>
      <c r="AA21">
        <f t="shared" si="0"/>
        <v>0.11529792149689921</v>
      </c>
    </row>
    <row r="22" spans="1:27" ht="12.95" customHeight="1" x14ac:dyDescent="0.2">
      <c r="A22" s="28" t="s">
        <v>43</v>
      </c>
      <c r="B22" s="29"/>
      <c r="C22" s="11">
        <v>42970.415999999997</v>
      </c>
      <c r="D22" s="11"/>
      <c r="E22">
        <f t="shared" si="2"/>
        <v>4562.1166738754328</v>
      </c>
      <c r="F22">
        <f t="shared" si="3"/>
        <v>4562</v>
      </c>
      <c r="G22">
        <f t="shared" si="4"/>
        <v>0.21579999999812571</v>
      </c>
      <c r="Q22" s="2">
        <f t="shared" si="5"/>
        <v>27951.915999999997</v>
      </c>
      <c r="T22">
        <f>+G22</f>
        <v>0.21579999999812571</v>
      </c>
      <c r="Y22">
        <v>2750</v>
      </c>
      <c r="Z22">
        <f t="shared" si="1"/>
        <v>-5.5541667094538755E-2</v>
      </c>
      <c r="AA22">
        <f t="shared" si="0"/>
        <v>0.1125498635872878</v>
      </c>
    </row>
    <row r="23" spans="1:27" ht="12.95" customHeight="1" x14ac:dyDescent="0.2">
      <c r="A23" s="28" t="s">
        <v>44</v>
      </c>
      <c r="B23" s="29"/>
      <c r="C23" s="11">
        <v>46135.826800000003</v>
      </c>
      <c r="D23" s="11"/>
      <c r="E23">
        <f t="shared" si="2"/>
        <v>6273.5195717993111</v>
      </c>
      <c r="F23">
        <f t="shared" si="3"/>
        <v>6273.5</v>
      </c>
      <c r="G23">
        <f t="shared" si="4"/>
        <v>3.6200000009557698E-2</v>
      </c>
      <c r="H23">
        <f t="shared" ref="H23:H49" si="6">+G23</f>
        <v>3.6200000009557698E-2</v>
      </c>
      <c r="Q23" s="2">
        <f t="shared" si="5"/>
        <v>31117.326800000003</v>
      </c>
      <c r="S23">
        <f>G23</f>
        <v>3.6200000009557698E-2</v>
      </c>
      <c r="V23">
        <f>-$Z$3*SIN(($F23-$Z$2)*2*PI()/$Z$4)+$Z$1</f>
        <v>3.4407131899624133E-2</v>
      </c>
      <c r="X23">
        <f>(S23-V23)^2</f>
        <v>3.2143760596167545E-6</v>
      </c>
      <c r="Y23">
        <v>3000</v>
      </c>
      <c r="Z23">
        <f t="shared" si="1"/>
        <v>-5.2311267118412455E-2</v>
      </c>
      <c r="AA23">
        <f t="shared" si="0"/>
        <v>0.1093194636111615</v>
      </c>
    </row>
    <row r="24" spans="1:27" ht="12.95" customHeight="1" x14ac:dyDescent="0.2">
      <c r="A24" s="28" t="s">
        <v>44</v>
      </c>
      <c r="B24" s="29"/>
      <c r="C24" s="11">
        <v>46136.739699999998</v>
      </c>
      <c r="D24" s="11"/>
      <c r="E24">
        <f t="shared" si="2"/>
        <v>6274.0131379757795</v>
      </c>
      <c r="F24">
        <f t="shared" si="3"/>
        <v>6274</v>
      </c>
      <c r="G24">
        <f t="shared" si="4"/>
        <v>2.4299999997310806E-2</v>
      </c>
      <c r="H24">
        <f t="shared" si="6"/>
        <v>2.4299999997310806E-2</v>
      </c>
      <c r="Q24" s="2">
        <f t="shared" si="5"/>
        <v>31118.239699999998</v>
      </c>
      <c r="R24">
        <f>G24</f>
        <v>2.4299999997310806E-2</v>
      </c>
      <c r="U24">
        <f>Z$3*SIN((F24-Z$2)*2*PI()/Z$4)+Z$1</f>
        <v>2.2615108982817399E-2</v>
      </c>
      <c r="W24">
        <f>(R24-U24)^2</f>
        <v>2.8388577307206233E-6</v>
      </c>
      <c r="Y24">
        <v>3250</v>
      </c>
      <c r="Z24">
        <f t="shared" si="1"/>
        <v>-4.8617064472656235E-2</v>
      </c>
      <c r="AA24">
        <f t="shared" si="0"/>
        <v>0.10562526096540528</v>
      </c>
    </row>
    <row r="25" spans="1:27" ht="12.95" customHeight="1" x14ac:dyDescent="0.2">
      <c r="A25" s="28" t="s">
        <v>44</v>
      </c>
      <c r="B25" s="29" t="s">
        <v>45</v>
      </c>
      <c r="C25" s="11">
        <v>46148.773300000001</v>
      </c>
      <c r="D25" s="11"/>
      <c r="E25">
        <f t="shared" si="2"/>
        <v>6280.5191933391025</v>
      </c>
      <c r="F25">
        <f t="shared" si="3"/>
        <v>6280.5</v>
      </c>
      <c r="G25">
        <f t="shared" si="4"/>
        <v>3.5500000005413312E-2</v>
      </c>
      <c r="H25">
        <f t="shared" si="6"/>
        <v>3.5500000005413312E-2</v>
      </c>
      <c r="Q25" s="2">
        <f t="shared" si="5"/>
        <v>31130.273300000001</v>
      </c>
      <c r="S25">
        <f>G25</f>
        <v>3.5500000005413312E-2</v>
      </c>
      <c r="V25">
        <f>-$Z$3*SIN(($F25-$Z$2)*2*PI()/$Z$4)+$Z$1</f>
        <v>3.4210498253294981E-2</v>
      </c>
      <c r="X25">
        <f>(S25-V25)^2</f>
        <v>1.6628147687162464E-6</v>
      </c>
      <c r="Y25">
        <v>3500</v>
      </c>
      <c r="Z25">
        <f t="shared" si="1"/>
        <v>-4.4480260336544841E-2</v>
      </c>
      <c r="AA25">
        <f t="shared" si="0"/>
        <v>0.10148845682929389</v>
      </c>
    </row>
    <row r="26" spans="1:27" ht="12.95" customHeight="1" x14ac:dyDescent="0.2">
      <c r="A26" s="28" t="s">
        <v>44</v>
      </c>
      <c r="B26" s="29"/>
      <c r="C26" s="11">
        <v>46149.684399999998</v>
      </c>
      <c r="D26" s="11"/>
      <c r="E26">
        <f t="shared" si="2"/>
        <v>6281.0117863321811</v>
      </c>
      <c r="F26">
        <f t="shared" si="3"/>
        <v>6281</v>
      </c>
      <c r="G26">
        <f t="shared" si="4"/>
        <v>2.1800000002258457E-2</v>
      </c>
      <c r="H26">
        <f t="shared" si="6"/>
        <v>2.1800000002258457E-2</v>
      </c>
      <c r="Q26" s="2">
        <f t="shared" si="5"/>
        <v>31131.184399999998</v>
      </c>
      <c r="R26">
        <f>G26</f>
        <v>2.1800000002258457E-2</v>
      </c>
      <c r="U26">
        <f>Z$3*SIN((F26-Z$2)*2*PI()/Z$4)+Z$1</f>
        <v>2.2811744493338421E-2</v>
      </c>
      <c r="W26">
        <f>(R26-U26)^2</f>
        <v>1.023626915230654E-6</v>
      </c>
      <c r="Y26">
        <v>3750</v>
      </c>
      <c r="Z26">
        <f t="shared" si="1"/>
        <v>-3.9924595997312559E-2</v>
      </c>
      <c r="AA26">
        <f t="shared" si="0"/>
        <v>9.6932792490061606E-2</v>
      </c>
    </row>
    <row r="27" spans="1:27" ht="12.95" customHeight="1" x14ac:dyDescent="0.2">
      <c r="A27" s="28" t="s">
        <v>44</v>
      </c>
      <c r="B27" s="29" t="s">
        <v>45</v>
      </c>
      <c r="C27" s="11">
        <v>46836.812299999998</v>
      </c>
      <c r="D27" s="11"/>
      <c r="E27">
        <f t="shared" si="2"/>
        <v>6652.5125973183394</v>
      </c>
      <c r="F27">
        <f t="shared" si="3"/>
        <v>6652.5</v>
      </c>
      <c r="G27">
        <f t="shared" si="4"/>
        <v>2.3300000000745058E-2</v>
      </c>
      <c r="H27">
        <f t="shared" si="6"/>
        <v>2.3300000000745058E-2</v>
      </c>
      <c r="Q27" s="2">
        <f t="shared" si="5"/>
        <v>31818.312299999998</v>
      </c>
      <c r="S27">
        <f>G27</f>
        <v>2.3300000000745058E-2</v>
      </c>
      <c r="V27">
        <f>-$Z$3*SIN(($F27-$Z$2)*2*PI()/$Z$4)+$Z$1</f>
        <v>2.3746028106978716E-2</v>
      </c>
      <c r="X27">
        <f>(S27-V27)^2</f>
        <v>1.9894107155038364E-7</v>
      </c>
      <c r="Y27">
        <v>4000</v>
      </c>
      <c r="Z27">
        <f t="shared" si="1"/>
        <v>-3.4976216597939702E-2</v>
      </c>
      <c r="AA27">
        <f t="shared" si="0"/>
        <v>9.1984413090688749E-2</v>
      </c>
    </row>
    <row r="28" spans="1:27" ht="12.95" customHeight="1" x14ac:dyDescent="0.2">
      <c r="A28" s="28" t="s">
        <v>44</v>
      </c>
      <c r="B28" s="29"/>
      <c r="C28" s="11">
        <v>46874.740100000003</v>
      </c>
      <c r="D28" s="11"/>
      <c r="E28">
        <f t="shared" si="2"/>
        <v>6673.0185445501766</v>
      </c>
      <c r="F28">
        <f t="shared" si="3"/>
        <v>6673</v>
      </c>
      <c r="G28">
        <f t="shared" si="4"/>
        <v>3.4300000006624032E-2</v>
      </c>
      <c r="H28">
        <f t="shared" si="6"/>
        <v>3.4300000006624032E-2</v>
      </c>
      <c r="Q28" s="2">
        <f t="shared" si="5"/>
        <v>31856.240100000003</v>
      </c>
      <c r="R28">
        <f>G28</f>
        <v>3.4300000006624032E-2</v>
      </c>
      <c r="U28">
        <f>Z$3*SIN((F28-Z$2)*2*PI()/Z$4)+Z$1</f>
        <v>3.3838299101317124E-2</v>
      </c>
      <c r="W28">
        <f>(R28-U28)^2</f>
        <v>2.1316772596121863E-7</v>
      </c>
      <c r="Y28">
        <v>4250</v>
      </c>
      <c r="Z28">
        <f t="shared" si="1"/>
        <v>-2.9663521089113604E-2</v>
      </c>
      <c r="AA28">
        <f t="shared" si="0"/>
        <v>8.6671717581862651E-2</v>
      </c>
    </row>
    <row r="29" spans="1:27" ht="12.95" customHeight="1" x14ac:dyDescent="0.2">
      <c r="A29" s="28" t="s">
        <v>44</v>
      </c>
      <c r="B29" s="29" t="s">
        <v>45</v>
      </c>
      <c r="C29" s="11">
        <v>47241.87</v>
      </c>
      <c r="D29" s="11"/>
      <c r="E29">
        <f t="shared" si="2"/>
        <v>6871.5100562283769</v>
      </c>
      <c r="F29">
        <f t="shared" si="3"/>
        <v>6871.5</v>
      </c>
      <c r="G29">
        <f t="shared" si="4"/>
        <v>1.8600000003061723E-2</v>
      </c>
      <c r="H29">
        <f t="shared" si="6"/>
        <v>1.8600000003061723E-2</v>
      </c>
      <c r="Q29" s="2">
        <f t="shared" si="5"/>
        <v>32223.370000000003</v>
      </c>
      <c r="S29">
        <f>G29</f>
        <v>1.8600000003061723E-2</v>
      </c>
      <c r="V29">
        <f>-$Z$3*SIN(($F29-$Z$2)*2*PI()/$Z$4)+$Z$1</f>
        <v>1.7605242958287338E-2</v>
      </c>
      <c r="X29">
        <f>(S29-V29)^2</f>
        <v>9.8954157812826669E-7</v>
      </c>
      <c r="Y29">
        <v>4500</v>
      </c>
      <c r="Z29">
        <f t="shared" si="1"/>
        <v>-2.4016999246495148E-2</v>
      </c>
      <c r="AA29">
        <f t="shared" si="0"/>
        <v>8.1025195739244188E-2</v>
      </c>
    </row>
    <row r="30" spans="1:27" ht="12.95" customHeight="1" x14ac:dyDescent="0.2">
      <c r="A30" s="28" t="s">
        <v>44</v>
      </c>
      <c r="B30" s="29" t="s">
        <v>45</v>
      </c>
      <c r="C30" s="11">
        <v>47243.717700000001</v>
      </c>
      <c r="D30" s="11"/>
      <c r="E30">
        <f t="shared" si="2"/>
        <v>6872.5090289792415</v>
      </c>
      <c r="F30">
        <f t="shared" si="3"/>
        <v>6872.5</v>
      </c>
      <c r="G30">
        <f t="shared" si="4"/>
        <v>1.6700000000128057E-2</v>
      </c>
      <c r="H30">
        <f t="shared" si="6"/>
        <v>1.6700000000128057E-2</v>
      </c>
      <c r="Q30" s="2">
        <f t="shared" si="5"/>
        <v>32225.217700000001</v>
      </c>
      <c r="S30">
        <f>G30</f>
        <v>1.6700000000128057E-2</v>
      </c>
      <c r="V30">
        <f>-$Z$3*SIN(($F30-$Z$2)*2*PI()/$Z$4)+$Z$1</f>
        <v>1.7577292421144315E-2</v>
      </c>
      <c r="X30">
        <f>(S30-V30)^2</f>
        <v>7.6964199197256786E-7</v>
      </c>
      <c r="Y30">
        <v>4750</v>
      </c>
      <c r="Z30">
        <f t="shared" si="1"/>
        <v>-1.8069056688655862E-2</v>
      </c>
      <c r="AA30">
        <f t="shared" si="0"/>
        <v>7.5077253181404902E-2</v>
      </c>
    </row>
    <row r="31" spans="1:27" ht="12.95" customHeight="1" x14ac:dyDescent="0.2">
      <c r="A31" s="28" t="s">
        <v>44</v>
      </c>
      <c r="B31" s="29"/>
      <c r="C31" s="11">
        <v>47586.845300000001</v>
      </c>
      <c r="D31" s="11"/>
      <c r="E31">
        <f t="shared" si="2"/>
        <v>7058.0235185986185</v>
      </c>
      <c r="F31">
        <f t="shared" si="3"/>
        <v>7058</v>
      </c>
      <c r="G31">
        <f t="shared" si="4"/>
        <v>4.3500000007043127E-2</v>
      </c>
      <c r="H31">
        <f t="shared" si="6"/>
        <v>4.3500000007043127E-2</v>
      </c>
      <c r="Q31" s="2">
        <f t="shared" si="5"/>
        <v>32568.345300000001</v>
      </c>
      <c r="R31">
        <f>G31</f>
        <v>4.3500000007043127E-2</v>
      </c>
      <c r="U31">
        <f>Z$3*SIN((F31-Z$2)*2*PI()/Z$4)+Z$1</f>
        <v>4.4595637959259533E-2</v>
      </c>
      <c r="W31">
        <f>(R31-U31)^2</f>
        <v>1.2004225223369604E-6</v>
      </c>
      <c r="Y31">
        <v>5000</v>
      </c>
      <c r="Z31">
        <f t="shared" si="1"/>
        <v>-1.185382889991457E-2</v>
      </c>
      <c r="AA31">
        <f t="shared" si="0"/>
        <v>6.8862025392663617E-2</v>
      </c>
    </row>
    <row r="32" spans="1:27" ht="12.95" customHeight="1" x14ac:dyDescent="0.2">
      <c r="A32" s="28" t="s">
        <v>44</v>
      </c>
      <c r="B32" s="29" t="s">
        <v>45</v>
      </c>
      <c r="C32" s="11">
        <v>47648.773399999998</v>
      </c>
      <c r="D32" s="11"/>
      <c r="E32">
        <f t="shared" si="2"/>
        <v>7091.5054065743952</v>
      </c>
      <c r="F32">
        <f t="shared" si="3"/>
        <v>7091.5</v>
      </c>
      <c r="G32">
        <f t="shared" si="4"/>
        <v>1.0000000002037268E-2</v>
      </c>
      <c r="H32">
        <f t="shared" si="6"/>
        <v>1.0000000002037268E-2</v>
      </c>
      <c r="Q32" s="2">
        <f t="shared" si="5"/>
        <v>32630.273399999998</v>
      </c>
      <c r="S32">
        <f>G32</f>
        <v>1.0000000002037268E-2</v>
      </c>
      <c r="V32">
        <f>-$Z$3*SIN(($F32-$Z$2)*2*PI()/$Z$4)+$Z$1</f>
        <v>1.1484792147590336E-2</v>
      </c>
      <c r="X32">
        <f>(S32-V32)^2</f>
        <v>2.2046077154960837E-6</v>
      </c>
      <c r="Y32">
        <v>5250</v>
      </c>
      <c r="Z32">
        <f t="shared" si="1"/>
        <v>-5.4069853254042344E-3</v>
      </c>
      <c r="AA32">
        <f t="shared" si="0"/>
        <v>6.2415181818153281E-2</v>
      </c>
    </row>
    <row r="33" spans="1:27" ht="12.95" customHeight="1" x14ac:dyDescent="0.2">
      <c r="A33" s="28" t="s">
        <v>44</v>
      </c>
      <c r="B33" s="29"/>
      <c r="C33" s="11">
        <v>47675.6276</v>
      </c>
      <c r="D33" s="11"/>
      <c r="E33">
        <f t="shared" si="2"/>
        <v>7106.0243295847768</v>
      </c>
      <c r="F33">
        <f t="shared" si="3"/>
        <v>7106</v>
      </c>
      <c r="G33">
        <f t="shared" si="4"/>
        <v>4.5000000005529728E-2</v>
      </c>
      <c r="H33">
        <f t="shared" si="6"/>
        <v>4.5000000005529728E-2</v>
      </c>
      <c r="Q33" s="2">
        <f t="shared" si="5"/>
        <v>32657.1276</v>
      </c>
      <c r="R33">
        <f>G33</f>
        <v>4.5000000005529728E-2</v>
      </c>
      <c r="U33">
        <f>Z$3*SIN((F33-Z$2)*2*PI()/Z$4)+Z$1</f>
        <v>4.592443636436791E-2</v>
      </c>
      <c r="W33">
        <f>(R33-U33)^2</f>
        <v>8.5458258154199612E-7</v>
      </c>
      <c r="Y33">
        <v>5500</v>
      </c>
      <c r="Z33">
        <f t="shared" si="1"/>
        <v>1.2344753373249272E-3</v>
      </c>
      <c r="AA33">
        <f t="shared" si="0"/>
        <v>5.5773721155424116E-2</v>
      </c>
    </row>
    <row r="34" spans="1:27" ht="12.95" customHeight="1" x14ac:dyDescent="0.2">
      <c r="A34" s="28" t="s">
        <v>44</v>
      </c>
      <c r="B34" s="29" t="s">
        <v>45</v>
      </c>
      <c r="C34" s="11">
        <v>47676.516600000003</v>
      </c>
      <c r="D34" s="11"/>
      <c r="E34">
        <f t="shared" si="2"/>
        <v>7106.5049740484465</v>
      </c>
      <c r="F34">
        <f t="shared" si="3"/>
        <v>7106.5</v>
      </c>
      <c r="G34">
        <f t="shared" si="4"/>
        <v>9.2000000076950528E-3</v>
      </c>
      <c r="H34">
        <f t="shared" si="6"/>
        <v>9.2000000076950528E-3</v>
      </c>
      <c r="Q34" s="2">
        <f t="shared" si="5"/>
        <v>32658.016600000003</v>
      </c>
      <c r="S34">
        <f>G34</f>
        <v>9.2000000076950528E-3</v>
      </c>
      <c r="V34">
        <f>-$Z$3*SIN(($F34-$Z$2)*2*PI()/$Z$4)+$Z$1</f>
        <v>1.106993739504079E-2</v>
      </c>
      <c r="X34">
        <f>(S34-V34)^2</f>
        <v>3.4966658325934025E-6</v>
      </c>
      <c r="Y34">
        <v>5750</v>
      </c>
      <c r="Z34">
        <f t="shared" si="1"/>
        <v>8.0324374753357949E-3</v>
      </c>
      <c r="AA34">
        <f t="shared" si="0"/>
        <v>4.8975759017413252E-2</v>
      </c>
    </row>
    <row r="35" spans="1:27" ht="12.95" customHeight="1" x14ac:dyDescent="0.2">
      <c r="A35" s="28" t="s">
        <v>44</v>
      </c>
      <c r="B35" s="29"/>
      <c r="C35" s="11">
        <v>48363.6878</v>
      </c>
      <c r="D35" s="11"/>
      <c r="E35">
        <f t="shared" si="2"/>
        <v>7478.0291955017319</v>
      </c>
      <c r="F35">
        <f t="shared" si="3"/>
        <v>7478</v>
      </c>
      <c r="G35">
        <f t="shared" si="4"/>
        <v>5.400000000372529E-2</v>
      </c>
      <c r="H35">
        <f t="shared" si="6"/>
        <v>5.400000000372529E-2</v>
      </c>
      <c r="Q35" s="2">
        <f t="shared" si="5"/>
        <v>33345.1878</v>
      </c>
      <c r="R35">
        <f>G35</f>
        <v>5.400000000372529E-2</v>
      </c>
      <c r="U35">
        <f>Z$3*SIN((F35-Z$2)*2*PI()/Z$4)+Z$1</f>
        <v>5.6076305434444931E-2</v>
      </c>
      <c r="W35">
        <f>(R35-U35)^2</f>
        <v>4.3110442416358742E-6</v>
      </c>
      <c r="Y35">
        <v>6000</v>
      </c>
      <c r="Z35">
        <f t="shared" si="1"/>
        <v>1.4947887307357669E-2</v>
      </c>
      <c r="AA35">
        <f t="shared" si="0"/>
        <v>4.206030918539138E-2</v>
      </c>
    </row>
    <row r="36" spans="1:27" ht="12.95" customHeight="1" x14ac:dyDescent="0.2">
      <c r="A36" s="28" t="s">
        <v>44</v>
      </c>
      <c r="B36" s="29" t="s">
        <v>45</v>
      </c>
      <c r="C36" s="11">
        <v>48373.804700000001</v>
      </c>
      <c r="D36" s="11"/>
      <c r="E36">
        <f t="shared" si="2"/>
        <v>7483.4989727508673</v>
      </c>
      <c r="F36">
        <f t="shared" si="3"/>
        <v>7483.5</v>
      </c>
      <c r="G36">
        <f t="shared" si="4"/>
        <v>-1.8999999956577085E-3</v>
      </c>
      <c r="H36">
        <f t="shared" si="6"/>
        <v>-1.8999999956577085E-3</v>
      </c>
      <c r="O36">
        <f t="shared" ref="O36:O65" ca="1" si="7">+C$11+C$12*$F36</f>
        <v>0.1457258423431432</v>
      </c>
      <c r="P36">
        <f t="shared" ref="P36:P65" ca="1" si="8">+D$11+D$12*$F36</f>
        <v>-0.10840492733528689</v>
      </c>
      <c r="Q36" s="2">
        <f t="shared" si="5"/>
        <v>33355.304700000001</v>
      </c>
      <c r="S36">
        <f>G36</f>
        <v>-1.8999999956577085E-3</v>
      </c>
      <c r="V36">
        <f>-$Z$3*SIN(($F36-$Z$2)*2*PI()/$Z$4)+$Z$1</f>
        <v>7.84110126701279E-4</v>
      </c>
      <c r="X36">
        <f>(S36-V36)^2</f>
        <v>7.2044471489499791E-6</v>
      </c>
      <c r="Y36">
        <v>6250</v>
      </c>
      <c r="Z36">
        <f t="shared" si="1"/>
        <v>2.1941136785464201E-2</v>
      </c>
      <c r="AA36">
        <f t="shared" si="0"/>
        <v>3.5067059707284846E-2</v>
      </c>
    </row>
    <row r="37" spans="1:27" ht="12.95" customHeight="1" x14ac:dyDescent="0.2">
      <c r="A37" s="30" t="s">
        <v>46</v>
      </c>
      <c r="B37" s="31" t="s">
        <v>45</v>
      </c>
      <c r="C37" s="32">
        <v>55401.483999999997</v>
      </c>
      <c r="D37" s="32">
        <v>0.01</v>
      </c>
      <c r="E37">
        <f t="shared" si="2"/>
        <v>11283.066068339102</v>
      </c>
      <c r="F37">
        <f t="shared" si="3"/>
        <v>11283</v>
      </c>
      <c r="G37">
        <f t="shared" si="4"/>
        <v>0.12219999999797437</v>
      </c>
      <c r="K37">
        <f>+G37</f>
        <v>0.12219999999797437</v>
      </c>
      <c r="O37">
        <f t="shared" ca="1" si="7"/>
        <v>0.12503744331185271</v>
      </c>
      <c r="P37">
        <f t="shared" ca="1" si="8"/>
        <v>-6.8650812516771159E-2</v>
      </c>
      <c r="Q37" s="2">
        <f t="shared" si="5"/>
        <v>40382.983999999997</v>
      </c>
      <c r="R37">
        <f>G37</f>
        <v>0.12219999999797437</v>
      </c>
      <c r="U37">
        <f>Z$3*SIN((F37-Z$2)*2*PI()/Z$4)+Z$1</f>
        <v>0.12073917157939323</v>
      </c>
      <c r="W37">
        <f>(R37-U37)^2</f>
        <v>2.1340196685342724E-6</v>
      </c>
      <c r="Y37">
        <v>6500</v>
      </c>
      <c r="Z37">
        <f t="shared" si="1"/>
        <v>2.8972051366395035E-2</v>
      </c>
      <c r="AA37">
        <f t="shared" si="0"/>
        <v>2.8036145126354012E-2</v>
      </c>
    </row>
    <row r="38" spans="1:27" ht="12.95" customHeight="1" x14ac:dyDescent="0.2">
      <c r="A38" s="42" t="s">
        <v>47</v>
      </c>
      <c r="B38" s="43" t="s">
        <v>48</v>
      </c>
      <c r="C38" s="42">
        <v>56058.090900000003</v>
      </c>
      <c r="D38" s="42">
        <v>1.4E-3</v>
      </c>
      <c r="E38">
        <f t="shared" si="2"/>
        <v>11638.065473615921</v>
      </c>
      <c r="F38">
        <f t="shared" si="3"/>
        <v>11638</v>
      </c>
      <c r="G38">
        <f t="shared" si="4"/>
        <v>0.1211000000112108</v>
      </c>
      <c r="K38">
        <f>+G38</f>
        <v>0.1211000000112108</v>
      </c>
      <c r="O38">
        <f t="shared" ca="1" si="7"/>
        <v>0.12310445695677755</v>
      </c>
      <c r="P38">
        <f t="shared" ca="1" si="8"/>
        <v>-6.493645253241187E-2</v>
      </c>
      <c r="Q38" s="2">
        <f t="shared" si="5"/>
        <v>41039.590900000003</v>
      </c>
      <c r="R38">
        <f>G38</f>
        <v>0.1211000000112108</v>
      </c>
      <c r="U38">
        <f>Z$3*SIN((F38-Z$2)*2*PI()/Z$4)+Z$1</f>
        <v>0.121360329025133</v>
      </c>
      <c r="W38">
        <f>(R38-U38)^2</f>
        <v>6.7771195489705161E-8</v>
      </c>
      <c r="Y38">
        <v>6750</v>
      </c>
      <c r="Z38">
        <f t="shared" si="1"/>
        <v>3.6000280345332397E-2</v>
      </c>
      <c r="AA38">
        <f t="shared" si="0"/>
        <v>2.1007916147416653E-2</v>
      </c>
    </row>
    <row r="39" spans="1:27" ht="12.95" customHeight="1" x14ac:dyDescent="0.2">
      <c r="A39" s="42" t="s">
        <v>47</v>
      </c>
      <c r="B39" s="43" t="s">
        <v>48</v>
      </c>
      <c r="C39" s="42">
        <v>56069.188499999997</v>
      </c>
      <c r="D39" s="42">
        <v>1.2999999999999999E-3</v>
      </c>
      <c r="E39">
        <f t="shared" si="2"/>
        <v>11644.065473615918</v>
      </c>
      <c r="F39">
        <f t="shared" si="3"/>
        <v>11644</v>
      </c>
      <c r="G39">
        <f t="shared" si="4"/>
        <v>0.12109999999665888</v>
      </c>
      <c r="K39">
        <f>+G39</f>
        <v>0.12109999999665888</v>
      </c>
      <c r="O39">
        <f t="shared" ca="1" si="7"/>
        <v>0.12307178676486077</v>
      </c>
      <c r="P39">
        <f t="shared" ca="1" si="8"/>
        <v>-6.4873674617183269E-2</v>
      </c>
      <c r="Q39" s="2">
        <f t="shared" si="5"/>
        <v>41050.688499999997</v>
      </c>
      <c r="R39">
        <f>G39</f>
        <v>0.12109999999665888</v>
      </c>
      <c r="U39">
        <f>Z$3*SIN((F39-Z$2)*2*PI()/Z$4)+Z$1</f>
        <v>0.12136160036059108</v>
      </c>
      <c r="W39">
        <f>(R39-U39)^2</f>
        <v>6.8434750409461864E-8</v>
      </c>
      <c r="Y39">
        <v>7000</v>
      </c>
      <c r="Z39">
        <f t="shared" si="1"/>
        <v>4.2985488430237598E-2</v>
      </c>
      <c r="AA39">
        <f t="shared" si="0"/>
        <v>1.4022708062511453E-2</v>
      </c>
    </row>
    <row r="40" spans="1:27" ht="12.95" customHeight="1" x14ac:dyDescent="0.2">
      <c r="A40" s="42" t="s">
        <v>47</v>
      </c>
      <c r="B40" s="43" t="s">
        <v>45</v>
      </c>
      <c r="C40" s="42">
        <v>56069.928999999996</v>
      </c>
      <c r="D40" s="42">
        <v>2E-3</v>
      </c>
      <c r="E40">
        <f t="shared" si="2"/>
        <v>11644.465830449828</v>
      </c>
      <c r="F40">
        <f t="shared" si="3"/>
        <v>11644.5</v>
      </c>
      <c r="G40">
        <f t="shared" si="4"/>
        <v>-6.3199999996868428E-2</v>
      </c>
      <c r="K40">
        <f>+G40</f>
        <v>-6.3199999996868428E-2</v>
      </c>
      <c r="O40">
        <f t="shared" ca="1" si="7"/>
        <v>0.12306906424886771</v>
      </c>
      <c r="P40">
        <f t="shared" ca="1" si="8"/>
        <v>-6.4868443124247555E-2</v>
      </c>
      <c r="Q40" s="2">
        <f t="shared" si="5"/>
        <v>41051.428999999996</v>
      </c>
      <c r="S40">
        <f>G40</f>
        <v>-6.3199999996868428E-2</v>
      </c>
      <c r="V40">
        <f>-$Z$3*SIN(($F40-$Z$2)*2*PI()/$Z$4)+$Z$1</f>
        <v>-6.4353495950148887E-2</v>
      </c>
      <c r="X40">
        <f>(S40-V40)^2</f>
        <v>1.3305529142343947E-6</v>
      </c>
      <c r="Y40">
        <v>7250</v>
      </c>
      <c r="Z40">
        <f t="shared" si="1"/>
        <v>4.9887587227733017E-2</v>
      </c>
      <c r="AA40">
        <f t="shared" si="0"/>
        <v>7.1206092650160299E-3</v>
      </c>
    </row>
    <row r="41" spans="1:27" ht="12.95" customHeight="1" x14ac:dyDescent="0.2">
      <c r="A41" s="42" t="s">
        <v>47</v>
      </c>
      <c r="B41" s="43" t="s">
        <v>48</v>
      </c>
      <c r="C41" s="42">
        <v>56072.887999999999</v>
      </c>
      <c r="D41" s="42">
        <v>2E-3</v>
      </c>
      <c r="E41">
        <f t="shared" si="2"/>
        <v>11646.065635813151</v>
      </c>
      <c r="F41">
        <f t="shared" si="3"/>
        <v>11646</v>
      </c>
      <c r="G41">
        <f t="shared" si="4"/>
        <v>0.12140000000363216</v>
      </c>
      <c r="K41">
        <f>+G41</f>
        <v>0.12140000000363216</v>
      </c>
      <c r="O41">
        <f t="shared" ca="1" si="7"/>
        <v>0.12306089670088852</v>
      </c>
      <c r="P41">
        <f t="shared" ca="1" si="8"/>
        <v>-6.4852748645440397E-2</v>
      </c>
      <c r="Q41" s="2">
        <f t="shared" si="5"/>
        <v>41054.387999999999</v>
      </c>
      <c r="R41">
        <f>G41</f>
        <v>0.12140000000363216</v>
      </c>
      <c r="U41">
        <f>Z$3*SIN((F41-Z$2)*2*PI()/Z$4)+Z$1</f>
        <v>0.12136195589376454</v>
      </c>
      <c r="W41">
        <f>(R41-U41)^2</f>
        <v>1.447354295619235E-9</v>
      </c>
      <c r="Y41">
        <v>7500</v>
      </c>
      <c r="Z41">
        <f t="shared" si="1"/>
        <v>5.6666965312022602E-2</v>
      </c>
      <c r="AA41">
        <f t="shared" si="0"/>
        <v>3.4123118072644509E-4</v>
      </c>
    </row>
    <row r="42" spans="1:27" ht="12.95" customHeight="1" x14ac:dyDescent="0.2">
      <c r="A42" s="42" t="s">
        <v>47</v>
      </c>
      <c r="B42" s="43" t="s">
        <v>48</v>
      </c>
      <c r="C42" s="42">
        <v>56846.017899999999</v>
      </c>
      <c r="D42" s="42">
        <v>1.1999999999999999E-3</v>
      </c>
      <c r="E42">
        <f t="shared" si="2"/>
        <v>12064.064067906576</v>
      </c>
      <c r="F42">
        <f t="shared" si="3"/>
        <v>12064</v>
      </c>
      <c r="G42">
        <f t="shared" si="4"/>
        <v>0.11850000000413274</v>
      </c>
      <c r="K42">
        <f>+G42</f>
        <v>0.11850000000413274</v>
      </c>
      <c r="O42">
        <f t="shared" ca="1" si="7"/>
        <v>0.12078487333068734</v>
      </c>
      <c r="P42">
        <f t="shared" ca="1" si="8"/>
        <v>-6.047922055118074E-2</v>
      </c>
      <c r="Q42" s="2">
        <f t="shared" si="5"/>
        <v>41827.517899999999</v>
      </c>
      <c r="R42">
        <f>G42</f>
        <v>0.11850000000413274</v>
      </c>
      <c r="U42">
        <f>Z$3*SIN((F42-Z$2)*2*PI()/Z$4)+Z$1</f>
        <v>0.12068824286544264</v>
      </c>
      <c r="W42">
        <f>(R42-U42)^2</f>
        <v>4.7884068200737007E-6</v>
      </c>
      <c r="Y42">
        <v>7750</v>
      </c>
      <c r="Z42">
        <f t="shared" si="1"/>
        <v>6.3284715556476037E-2</v>
      </c>
      <c r="AA42">
        <f t="shared" si="0"/>
        <v>-6.2765190637269902E-3</v>
      </c>
    </row>
    <row r="43" spans="1:27" ht="12.95" customHeight="1" x14ac:dyDescent="0.2">
      <c r="A43" s="42" t="s">
        <v>47</v>
      </c>
      <c r="B43" s="43" t="s">
        <v>45</v>
      </c>
      <c r="C43" s="42">
        <v>56868.957999999999</v>
      </c>
      <c r="D43" s="42">
        <v>2E-3</v>
      </c>
      <c r="E43">
        <f t="shared" si="2"/>
        <v>12076.466803633219</v>
      </c>
      <c r="F43">
        <f t="shared" si="3"/>
        <v>12076.5</v>
      </c>
      <c r="G43">
        <f t="shared" si="4"/>
        <v>-6.1399999998684507E-2</v>
      </c>
      <c r="K43">
        <f>+G43</f>
        <v>-6.1399999998684507E-2</v>
      </c>
      <c r="O43">
        <f t="shared" ca="1" si="7"/>
        <v>0.12071681043086074</v>
      </c>
      <c r="P43">
        <f t="shared" ca="1" si="8"/>
        <v>-6.0348433227787796E-2</v>
      </c>
      <c r="Q43" s="2">
        <f t="shared" si="5"/>
        <v>41850.457999999999</v>
      </c>
      <c r="S43">
        <f>G43</f>
        <v>-6.1399999998684507E-2</v>
      </c>
      <c r="V43">
        <f>-$Z$3*SIN(($F43-$Z$2)*2*PI()/$Z$4)+$Z$1</f>
        <v>-6.3637029470723958E-2</v>
      </c>
      <c r="X43">
        <f>(S43-V43)^2</f>
        <v>5.0043008587731031E-6</v>
      </c>
      <c r="Y43">
        <v>8000</v>
      </c>
      <c r="Z43">
        <f t="shared" si="1"/>
        <v>6.9702858423211278E-2</v>
      </c>
      <c r="AA43">
        <f t="shared" ref="AA43:AA66" si="9">-$Z$3*SIN(($Y43-$Z$2)*2*PI()/$Z$4)+$Z$1</f>
        <v>-1.2694661930462238E-2</v>
      </c>
    </row>
    <row r="44" spans="1:27" ht="12.95" customHeight="1" x14ac:dyDescent="0.2">
      <c r="A44" s="42" t="s">
        <v>47</v>
      </c>
      <c r="B44" s="43" t="s">
        <v>48</v>
      </c>
      <c r="C44" s="42">
        <v>57571.063300000002</v>
      </c>
      <c r="D44" s="42">
        <v>1.1000000000000001E-3</v>
      </c>
      <c r="E44">
        <f t="shared" si="2"/>
        <v>12456.065257352944</v>
      </c>
      <c r="F44">
        <f t="shared" si="3"/>
        <v>12456</v>
      </c>
      <c r="G44">
        <f t="shared" si="4"/>
        <v>0.12070000000676373</v>
      </c>
      <c r="K44">
        <f>+G44</f>
        <v>0.12070000000676373</v>
      </c>
      <c r="O44">
        <f t="shared" ca="1" si="7"/>
        <v>0.11865042079212546</v>
      </c>
      <c r="P44">
        <f t="shared" ca="1" si="8"/>
        <v>-5.6377730089578387E-2</v>
      </c>
      <c r="Q44" s="2">
        <f t="shared" si="5"/>
        <v>42552.563300000002</v>
      </c>
      <c r="R44">
        <f>G44</f>
        <v>0.12070000000676373</v>
      </c>
      <c r="U44">
        <f t="shared" ref="U44:U65" si="10">Z$3*SIN((F44-Z$2)*2*PI()/Z$4)+Z$1</f>
        <v>0.11871318928859055</v>
      </c>
      <c r="W44">
        <f>(R44-U44)^2</f>
        <v>3.9474168298478246E-6</v>
      </c>
      <c r="Y44">
        <v>8250</v>
      </c>
      <c r="Z44">
        <f t="shared" ref="Z44:Z66" si="11">Z$3*SIN((Y44-Z$2)*2*PI()/Z$4)+Z$1</f>
        <v>7.5884559929207646E-2</v>
      </c>
      <c r="AA44">
        <f t="shared" si="9"/>
        <v>-1.8876363436458592E-2</v>
      </c>
    </row>
    <row r="45" spans="1:27" ht="12.95" customHeight="1" x14ac:dyDescent="0.2">
      <c r="A45" s="42" t="s">
        <v>47</v>
      </c>
      <c r="B45" s="43" t="s">
        <v>48</v>
      </c>
      <c r="C45" s="42">
        <v>57596.957699999999</v>
      </c>
      <c r="D45" s="42">
        <v>1.1999999999999999E-3</v>
      </c>
      <c r="E45">
        <f t="shared" si="2"/>
        <v>12470.065257352942</v>
      </c>
      <c r="F45">
        <f t="shared" si="3"/>
        <v>12470</v>
      </c>
      <c r="G45">
        <f t="shared" si="4"/>
        <v>0.12069999999948777</v>
      </c>
      <c r="K45">
        <f>+G45</f>
        <v>0.12069999999948777</v>
      </c>
      <c r="O45">
        <f t="shared" ca="1" si="7"/>
        <v>0.11857419034431967</v>
      </c>
      <c r="P45">
        <f t="shared" ca="1" si="8"/>
        <v>-5.6231248287378299E-2</v>
      </c>
      <c r="Q45" s="2">
        <f t="shared" si="5"/>
        <v>42578.457699999999</v>
      </c>
      <c r="R45">
        <f>G45</f>
        <v>0.12069999999948777</v>
      </c>
      <c r="U45">
        <f t="shared" si="10"/>
        <v>0.1186189061745392</v>
      </c>
      <c r="W45">
        <f>(R45-U45)^2</f>
        <v>4.3309515082390856E-6</v>
      </c>
      <c r="Y45">
        <v>8500</v>
      </c>
      <c r="Z45">
        <f t="shared" si="11"/>
        <v>8.1794343038032818E-2</v>
      </c>
      <c r="AA45">
        <f t="shared" si="9"/>
        <v>-2.4786146545283771E-2</v>
      </c>
    </row>
    <row r="46" spans="1:27" ht="12.95" customHeight="1" x14ac:dyDescent="0.2">
      <c r="A46" s="44" t="s">
        <v>0</v>
      </c>
      <c r="B46" s="45" t="s">
        <v>45</v>
      </c>
      <c r="C46" s="44">
        <v>57966.877100000158</v>
      </c>
      <c r="D46" s="44">
        <v>1.1000000000000001E-3</v>
      </c>
      <c r="E46">
        <f t="shared" si="2"/>
        <v>12670.064932958565</v>
      </c>
      <c r="F46">
        <f t="shared" si="3"/>
        <v>12670</v>
      </c>
      <c r="G46">
        <f t="shared" si="4"/>
        <v>0.1201000001601642</v>
      </c>
      <c r="K46">
        <f>+G46</f>
        <v>0.1201000001601642</v>
      </c>
      <c r="O46">
        <f t="shared" ca="1" si="7"/>
        <v>0.11748518394709422</v>
      </c>
      <c r="P46">
        <f t="shared" ca="1" si="8"/>
        <v>-5.4138651113091379E-2</v>
      </c>
      <c r="Q46" s="2">
        <f t="shared" si="5"/>
        <v>42948.377100000158</v>
      </c>
      <c r="R46">
        <f>G46</f>
        <v>0.1201000001601642</v>
      </c>
      <c r="U46">
        <f t="shared" si="10"/>
        <v>0.11709571841643122</v>
      </c>
      <c r="W46">
        <f>(R46-U46)^2</f>
        <v>9.0257087957272477E-6</v>
      </c>
      <c r="Y46">
        <v>8750</v>
      </c>
      <c r="Z46">
        <f t="shared" si="11"/>
        <v>8.7398291263998285E-2</v>
      </c>
      <c r="AA46">
        <f t="shared" si="9"/>
        <v>-3.0390094771249244E-2</v>
      </c>
    </row>
    <row r="47" spans="1:27" ht="12.95" customHeight="1" x14ac:dyDescent="0.2">
      <c r="A47" s="44" t="s">
        <v>1</v>
      </c>
      <c r="B47" s="45" t="s">
        <v>45</v>
      </c>
      <c r="C47" s="44">
        <v>58319.0524</v>
      </c>
      <c r="D47" s="44">
        <v>2.2000000000000001E-3</v>
      </c>
      <c r="E47">
        <f t="shared" si="2"/>
        <v>12860.471128892736</v>
      </c>
      <c r="F47">
        <f t="shared" si="3"/>
        <v>12860.5</v>
      </c>
      <c r="G47">
        <f t="shared" si="4"/>
        <v>-5.3399999997054692E-2</v>
      </c>
      <c r="K47">
        <f>+G47</f>
        <v>-5.3399999997054692E-2</v>
      </c>
      <c r="O47">
        <f t="shared" ca="1" si="7"/>
        <v>0.11644790535373697</v>
      </c>
      <c r="P47">
        <f t="shared" ca="1" si="8"/>
        <v>-5.214545230458309E-2</v>
      </c>
      <c r="Q47" s="2">
        <f t="shared" si="5"/>
        <v>43300.5524</v>
      </c>
      <c r="S47">
        <f>G47</f>
        <v>-5.3399999997054692E-2</v>
      </c>
      <c r="U47">
        <f t="shared" si="10"/>
        <v>0.11534215609562881</v>
      </c>
      <c r="W47">
        <f>(S47-U47)^2</f>
        <v>2.8473915242807565E-2</v>
      </c>
      <c r="Y47">
        <v>9000</v>
      </c>
      <c r="Z47">
        <f t="shared" si="11"/>
        <v>9.2664243320250514E-2</v>
      </c>
      <c r="AA47">
        <f t="shared" si="9"/>
        <v>-3.5656046827501467E-2</v>
      </c>
    </row>
    <row r="48" spans="1:27" ht="12.95" customHeight="1" x14ac:dyDescent="0.2">
      <c r="A48" s="44" t="s">
        <v>1</v>
      </c>
      <c r="B48" s="45" t="s">
        <v>48</v>
      </c>
      <c r="C48" s="44">
        <v>58321.998570999996</v>
      </c>
      <c r="D48" s="44">
        <v>6.3E-5</v>
      </c>
      <c r="E48">
        <f t="shared" si="2"/>
        <v>12862.063998161764</v>
      </c>
      <c r="F48">
        <f t="shared" si="3"/>
        <v>12862</v>
      </c>
      <c r="G48">
        <f t="shared" si="4"/>
        <v>0.11837099999684142</v>
      </c>
      <c r="K48">
        <f>+G48</f>
        <v>0.11837099999684142</v>
      </c>
      <c r="O48">
        <f t="shared" ca="1" si="7"/>
        <v>0.1164397378057578</v>
      </c>
      <c r="P48">
        <f t="shared" ca="1" si="8"/>
        <v>-5.2129757825775919E-2</v>
      </c>
      <c r="Q48" s="2">
        <f t="shared" si="5"/>
        <v>43303.498570999996</v>
      </c>
      <c r="R48">
        <f t="shared" ref="R48:R65" si="12">G48</f>
        <v>0.11837099999684142</v>
      </c>
      <c r="U48">
        <f t="shared" si="10"/>
        <v>0.1153271917393173</v>
      </c>
      <c r="W48">
        <f t="shared" ref="W48:W65" si="13">(R48-U48)^2</f>
        <v>9.2647687085720329E-6</v>
      </c>
      <c r="Y48">
        <v>9250</v>
      </c>
      <c r="Z48">
        <f t="shared" si="11"/>
        <v>9.7561977693704588E-2</v>
      </c>
      <c r="AA48">
        <f t="shared" si="9"/>
        <v>-4.0553781200955541E-2</v>
      </c>
    </row>
    <row r="49" spans="1:27" ht="12.95" customHeight="1" x14ac:dyDescent="0.2">
      <c r="A49" s="46" t="s">
        <v>68</v>
      </c>
      <c r="B49" s="47" t="s">
        <v>48</v>
      </c>
      <c r="C49" s="53">
        <v>58592.039379999973</v>
      </c>
      <c r="D49" s="54">
        <v>1.2199999999999999E-3</v>
      </c>
      <c r="E49">
        <f t="shared" si="2"/>
        <v>13008.063570501718</v>
      </c>
      <c r="F49">
        <f t="shared" si="3"/>
        <v>13008</v>
      </c>
      <c r="G49">
        <f t="shared" si="4"/>
        <v>0.1175799999764422</v>
      </c>
      <c r="K49">
        <f>+G49</f>
        <v>0.1175799999764422</v>
      </c>
      <c r="O49">
        <f t="shared" ca="1" si="7"/>
        <v>0.11564476313578322</v>
      </c>
      <c r="P49">
        <f t="shared" ca="1" si="8"/>
        <v>-5.0602161888546493E-2</v>
      </c>
      <c r="Q49" s="2">
        <f t="shared" si="5"/>
        <v>43573.539379999973</v>
      </c>
      <c r="R49">
        <f t="shared" si="12"/>
        <v>0.1175799999764422</v>
      </c>
      <c r="U49">
        <f t="shared" si="10"/>
        <v>0.11378526551598357</v>
      </c>
      <c r="W49">
        <f t="shared" si="13"/>
        <v>1.4400009625392202E-5</v>
      </c>
      <c r="Y49">
        <v>9500</v>
      </c>
      <c r="Z49">
        <f t="shared" si="11"/>
        <v>0.10206338608753736</v>
      </c>
      <c r="AA49">
        <f t="shared" si="9"/>
        <v>-4.5055189594788311E-2</v>
      </c>
    </row>
    <row r="50" spans="1:27" ht="12.95" customHeight="1" x14ac:dyDescent="0.2">
      <c r="A50" s="50" t="s">
        <v>70</v>
      </c>
      <c r="B50" s="50" t="s">
        <v>48</v>
      </c>
      <c r="C50" s="55">
        <v>58599.438260510098</v>
      </c>
      <c r="D50" s="56">
        <v>3.127E-3</v>
      </c>
      <c r="E50">
        <f t="shared" si="2"/>
        <v>13012.063830293091</v>
      </c>
      <c r="F50">
        <f t="shared" si="3"/>
        <v>13012</v>
      </c>
      <c r="G50">
        <f t="shared" si="4"/>
        <v>0.11806051010353258</v>
      </c>
      <c r="L50">
        <f>+G50</f>
        <v>0.11806051010353258</v>
      </c>
      <c r="O50">
        <f t="shared" ca="1" si="7"/>
        <v>0.1156229830078387</v>
      </c>
      <c r="P50">
        <f t="shared" ca="1" si="8"/>
        <v>-5.056030994506075E-2</v>
      </c>
      <c r="Q50" s="2">
        <f t="shared" si="5"/>
        <v>43580.938260510098</v>
      </c>
      <c r="R50">
        <f t="shared" si="12"/>
        <v>0.11806051010353258</v>
      </c>
      <c r="U50">
        <f t="shared" si="10"/>
        <v>0.11374065641013704</v>
      </c>
      <c r="W50">
        <f t="shared" si="13"/>
        <v>1.8661135932343035E-5</v>
      </c>
      <c r="Y50">
        <v>9750</v>
      </c>
      <c r="Z50">
        <f t="shared" si="11"/>
        <v>0.10614263473584636</v>
      </c>
      <c r="AA50">
        <f t="shared" si="9"/>
        <v>-4.9134438243097309E-2</v>
      </c>
    </row>
    <row r="51" spans="1:27" ht="12.95" customHeight="1" x14ac:dyDescent="0.2">
      <c r="A51" s="50" t="s">
        <v>70</v>
      </c>
      <c r="B51" s="50" t="s">
        <v>45</v>
      </c>
      <c r="C51" s="55">
        <v>58600.193969250191</v>
      </c>
      <c r="D51" s="56">
        <v>1.08E-3</v>
      </c>
      <c r="E51">
        <f t="shared" si="2"/>
        <v>13012.472409845477</v>
      </c>
      <c r="F51">
        <f t="shared" si="3"/>
        <v>13012.5</v>
      </c>
      <c r="G51">
        <f t="shared" si="4"/>
        <v>-5.1030749804340303E-2</v>
      </c>
      <c r="L51">
        <f>+G51</f>
        <v>-5.1030749804340303E-2</v>
      </c>
      <c r="O51">
        <f t="shared" ca="1" si="7"/>
        <v>0.11562026049184564</v>
      </c>
      <c r="P51">
        <f t="shared" ca="1" si="8"/>
        <v>-5.0555078452125035E-2</v>
      </c>
      <c r="Q51" s="2">
        <f t="shared" si="5"/>
        <v>43581.693969250191</v>
      </c>
      <c r="S51">
        <f>G51</f>
        <v>-5.1030749804340303E-2</v>
      </c>
      <c r="U51">
        <f t="shared" si="10"/>
        <v>0.11373507146117694</v>
      </c>
      <c r="W51">
        <f>(S51-U51)^2</f>
        <v>2.7147775857300379E-2</v>
      </c>
      <c r="Y51">
        <v>10000</v>
      </c>
      <c r="Z51">
        <f t="shared" si="11"/>
        <v>0.10977631266468339</v>
      </c>
      <c r="AA51">
        <f t="shared" si="9"/>
        <v>-5.2768116171934346E-2</v>
      </c>
    </row>
    <row r="52" spans="1:27" ht="12.95" customHeight="1" x14ac:dyDescent="0.2">
      <c r="A52" s="46" t="s">
        <v>68</v>
      </c>
      <c r="B52" s="47" t="s">
        <v>45</v>
      </c>
      <c r="C52" s="53">
        <v>58600.194089999888</v>
      </c>
      <c r="D52" s="54">
        <v>1.5399999999999999E-3</v>
      </c>
      <c r="E52">
        <f t="shared" si="2"/>
        <v>13012.4724751297</v>
      </c>
      <c r="F52">
        <f t="shared" si="3"/>
        <v>13012.5</v>
      </c>
      <c r="G52">
        <f t="shared" si="4"/>
        <v>-5.0910000107251108E-2</v>
      </c>
      <c r="K52">
        <f>+G52</f>
        <v>-5.0910000107251108E-2</v>
      </c>
      <c r="O52">
        <f t="shared" ca="1" si="7"/>
        <v>0.11562026049184564</v>
      </c>
      <c r="P52">
        <f t="shared" ca="1" si="8"/>
        <v>-5.0555078452125035E-2</v>
      </c>
      <c r="Q52" s="2">
        <f t="shared" si="5"/>
        <v>43581.694089999888</v>
      </c>
      <c r="S52">
        <f>G52</f>
        <v>-5.0910000107251108E-2</v>
      </c>
      <c r="U52">
        <f t="shared" si="10"/>
        <v>0.11373507146117694</v>
      </c>
      <c r="W52">
        <f>(S52-U52)^2</f>
        <v>2.7107999591772798E-2</v>
      </c>
      <c r="Y52">
        <v>10250</v>
      </c>
      <c r="Z52">
        <f t="shared" si="11"/>
        <v>0.11294356604858639</v>
      </c>
      <c r="AA52">
        <f t="shared" si="9"/>
        <v>-5.5935369555837347E-2</v>
      </c>
    </row>
    <row r="53" spans="1:27" ht="12.95" customHeight="1" x14ac:dyDescent="0.2">
      <c r="A53" s="50" t="s">
        <v>70</v>
      </c>
      <c r="B53" s="50" t="s">
        <v>48</v>
      </c>
      <c r="C53" s="55">
        <v>58614.235019309912</v>
      </c>
      <c r="D53" s="56">
        <v>2.594E-3</v>
      </c>
      <c r="E53">
        <f t="shared" si="2"/>
        <v>13020.063808017905</v>
      </c>
      <c r="F53">
        <f t="shared" si="3"/>
        <v>13020</v>
      </c>
      <c r="G53">
        <f t="shared" si="4"/>
        <v>0.11801930991350673</v>
      </c>
      <c r="L53">
        <f>+G53</f>
        <v>0.11801930991350673</v>
      </c>
      <c r="O53">
        <f t="shared" ca="1" si="7"/>
        <v>0.11557942275194968</v>
      </c>
      <c r="P53">
        <f t="shared" ca="1" si="8"/>
        <v>-5.0476606058089263E-2</v>
      </c>
      <c r="Q53" s="2">
        <f t="shared" si="5"/>
        <v>43595.735019309912</v>
      </c>
      <c r="R53">
        <f t="shared" si="12"/>
        <v>0.11801930991350673</v>
      </c>
      <c r="U53">
        <f t="shared" si="10"/>
        <v>0.11365106239720817</v>
      </c>
      <c r="W53">
        <f t="shared" si="13"/>
        <v>1.9081586363648583E-5</v>
      </c>
      <c r="Y53">
        <v>10500</v>
      </c>
      <c r="Z53">
        <f t="shared" si="11"/>
        <v>0.11562621789153217</v>
      </c>
      <c r="AA53">
        <f t="shared" si="9"/>
        <v>-5.8618021398783124E-2</v>
      </c>
    </row>
    <row r="54" spans="1:27" ht="12.95" customHeight="1" x14ac:dyDescent="0.2">
      <c r="A54" s="50" t="s">
        <v>70</v>
      </c>
      <c r="B54" s="50" t="s">
        <v>45</v>
      </c>
      <c r="C54" s="55">
        <v>58614.990916260052</v>
      </c>
      <c r="D54" s="56">
        <v>9.8900000000000008E-4</v>
      </c>
      <c r="E54">
        <f t="shared" si="2"/>
        <v>13020.472489327452</v>
      </c>
      <c r="F54">
        <f t="shared" si="3"/>
        <v>13020.5</v>
      </c>
      <c r="G54">
        <f t="shared" si="4"/>
        <v>-5.0883739939308725E-2</v>
      </c>
      <c r="L54">
        <f>+G54</f>
        <v>-5.0883739939308725E-2</v>
      </c>
      <c r="O54">
        <f t="shared" ca="1" si="7"/>
        <v>0.11557670023595662</v>
      </c>
      <c r="P54">
        <f t="shared" ca="1" si="8"/>
        <v>-5.0471374565153548E-2</v>
      </c>
      <c r="Q54" s="2">
        <f t="shared" si="5"/>
        <v>43596.490916260052</v>
      </c>
      <c r="S54">
        <f>G54</f>
        <v>-5.0883739939308725E-2</v>
      </c>
      <c r="U54">
        <f t="shared" si="10"/>
        <v>0.11364544614347036</v>
      </c>
      <c r="W54">
        <f>(S54-U54)^2</f>
        <v>2.7069853073061746E-2</v>
      </c>
      <c r="Y54">
        <v>10750</v>
      </c>
      <c r="Z54">
        <f t="shared" si="11"/>
        <v>0.11780887234545608</v>
      </c>
      <c r="AA54">
        <f t="shared" si="9"/>
        <v>-6.0800675852707028E-2</v>
      </c>
    </row>
    <row r="55" spans="1:27" ht="12.95" customHeight="1" x14ac:dyDescent="0.2">
      <c r="A55" s="50" t="s">
        <v>70</v>
      </c>
      <c r="B55" s="50" t="s">
        <v>48</v>
      </c>
      <c r="C55" s="55">
        <v>58621.632944469806</v>
      </c>
      <c r="D55" s="56">
        <v>4.6000000000000001E-4</v>
      </c>
      <c r="E55">
        <f t="shared" si="2"/>
        <v>13024.063551292069</v>
      </c>
      <c r="F55">
        <f t="shared" si="3"/>
        <v>13024</v>
      </c>
      <c r="G55">
        <f t="shared" si="4"/>
        <v>0.11754446980921784</v>
      </c>
      <c r="L55">
        <f>+G55</f>
        <v>0.11754446980921784</v>
      </c>
      <c r="O55">
        <f t="shared" ca="1" si="7"/>
        <v>0.11555764262400517</v>
      </c>
      <c r="P55">
        <f t="shared" ca="1" si="8"/>
        <v>-5.0434754114603519E-2</v>
      </c>
      <c r="Q55" s="2">
        <f t="shared" si="5"/>
        <v>43603.132944469806</v>
      </c>
      <c r="R55">
        <f t="shared" si="12"/>
        <v>0.11754446980921784</v>
      </c>
      <c r="U55">
        <f t="shared" si="10"/>
        <v>0.11360607762181982</v>
      </c>
      <c r="W55">
        <f t="shared" si="13"/>
        <v>1.5510933021757811E-5</v>
      </c>
      <c r="Y55">
        <v>11000</v>
      </c>
      <c r="Z55">
        <f t="shared" si="11"/>
        <v>0.11947900306765039</v>
      </c>
      <c r="AA55">
        <f t="shared" si="9"/>
        <v>-6.2470806574901339E-2</v>
      </c>
    </row>
    <row r="56" spans="1:27" ht="12.95" customHeight="1" x14ac:dyDescent="0.2">
      <c r="A56" s="50" t="s">
        <v>70</v>
      </c>
      <c r="B56" s="50" t="s">
        <v>45</v>
      </c>
      <c r="C56" s="55">
        <v>58622.389254759997</v>
      </c>
      <c r="D56" s="56">
        <v>1.0460000000000001E-3</v>
      </c>
      <c r="E56">
        <f t="shared" si="2"/>
        <v>13024.47245607699</v>
      </c>
      <c r="F56">
        <f t="shared" si="3"/>
        <v>13024.5</v>
      </c>
      <c r="G56">
        <f t="shared" si="4"/>
        <v>-5.0945240000146441E-2</v>
      </c>
      <c r="L56">
        <f>+G56</f>
        <v>-5.0945240000146441E-2</v>
      </c>
      <c r="O56">
        <f t="shared" ca="1" si="7"/>
        <v>0.1155549201080121</v>
      </c>
      <c r="P56">
        <f t="shared" ca="1" si="8"/>
        <v>-5.0429522621667805E-2</v>
      </c>
      <c r="Q56" s="2">
        <f t="shared" si="5"/>
        <v>43603.889254759997</v>
      </c>
      <c r="S56">
        <f>G56</f>
        <v>-5.0945240000146441E-2</v>
      </c>
      <c r="U56">
        <f t="shared" si="10"/>
        <v>0.11360044572806462</v>
      </c>
      <c r="W56">
        <f>(S56-U56)^2</f>
        <v>2.7075282691767195E-2</v>
      </c>
      <c r="Y56">
        <v>11250</v>
      </c>
      <c r="Z56">
        <f t="shared" si="11"/>
        <v>0.12062702510995468</v>
      </c>
      <c r="AA56">
        <f t="shared" si="9"/>
        <v>-6.3618828617205636E-2</v>
      </c>
    </row>
    <row r="57" spans="1:27" ht="12.95" customHeight="1" x14ac:dyDescent="0.2">
      <c r="A57" s="46" t="s">
        <v>68</v>
      </c>
      <c r="B57" s="47" t="s">
        <v>45</v>
      </c>
      <c r="C57" s="53">
        <v>58676.02807</v>
      </c>
      <c r="D57" s="54">
        <v>2.2799999999999999E-3</v>
      </c>
      <c r="E57">
        <f t="shared" si="2"/>
        <v>13053.472680579587</v>
      </c>
      <c r="F57">
        <f t="shared" si="3"/>
        <v>13053.5</v>
      </c>
      <c r="G57">
        <f t="shared" si="4"/>
        <v>-5.0529999993159436E-2</v>
      </c>
      <c r="K57">
        <f>+G57</f>
        <v>-5.0529999993159436E-2</v>
      </c>
      <c r="O57">
        <f t="shared" ca="1" si="7"/>
        <v>0.11539701418041443</v>
      </c>
      <c r="P57">
        <f t="shared" ca="1" si="8"/>
        <v>-5.01260960313962E-2</v>
      </c>
      <c r="Q57" s="2">
        <f t="shared" si="5"/>
        <v>43657.52807</v>
      </c>
      <c r="S57">
        <f>G57</f>
        <v>-5.0529999993159436E-2</v>
      </c>
      <c r="U57">
        <f t="shared" si="10"/>
        <v>0.11327045610352734</v>
      </c>
      <c r="W57">
        <f>(S57-U57)^2</f>
        <v>2.6830589417482613E-2</v>
      </c>
      <c r="Y57">
        <v>11500</v>
      </c>
      <c r="Z57">
        <f t="shared" si="11"/>
        <v>0.12124634992716335</v>
      </c>
      <c r="AA57">
        <f t="shared" si="9"/>
        <v>-6.4238153434414302E-2</v>
      </c>
    </row>
    <row r="58" spans="1:27" ht="12.75" customHeight="1" x14ac:dyDescent="0.2">
      <c r="A58" s="50" t="s">
        <v>70</v>
      </c>
      <c r="B58" s="50" t="s">
        <v>48</v>
      </c>
      <c r="C58" s="55">
        <v>59335.574039880186</v>
      </c>
      <c r="D58" s="56">
        <v>4.0200000000000001E-4</v>
      </c>
      <c r="E58">
        <f t="shared" si="2"/>
        <v>13410.061115852179</v>
      </c>
      <c r="F58">
        <f t="shared" si="3"/>
        <v>13410</v>
      </c>
      <c r="G58">
        <f t="shared" si="4"/>
        <v>0.11303988019062672</v>
      </c>
      <c r="L58">
        <f t="shared" ref="L58:L63" si="14">+G58</f>
        <v>0.11303988019062672</v>
      </c>
      <c r="O58">
        <f t="shared" ca="1" si="7"/>
        <v>0.11345586027736006</v>
      </c>
      <c r="P58">
        <f t="shared" ca="1" si="8"/>
        <v>-4.6396041568229768E-2</v>
      </c>
      <c r="Q58" s="2">
        <f t="shared" si="5"/>
        <v>44317.074039880186</v>
      </c>
      <c r="R58">
        <f t="shared" si="12"/>
        <v>0.11303988019062672</v>
      </c>
      <c r="U58">
        <f t="shared" si="10"/>
        <v>0.10868714427471075</v>
      </c>
      <c r="W58">
        <f t="shared" si="13"/>
        <v>1.894630995370479E-5</v>
      </c>
      <c r="Y58">
        <v>11750</v>
      </c>
      <c r="Z58">
        <f t="shared" si="11"/>
        <v>0.12133342318895454</v>
      </c>
      <c r="AA58">
        <f t="shared" si="9"/>
        <v>-6.4325226696205495E-2</v>
      </c>
    </row>
    <row r="59" spans="1:27" ht="12.95" customHeight="1" x14ac:dyDescent="0.2">
      <c r="A59" s="50" t="s">
        <v>70</v>
      </c>
      <c r="B59" s="50" t="s">
        <v>45</v>
      </c>
      <c r="C59" s="55">
        <v>59336.340278650168</v>
      </c>
      <c r="D59" s="56">
        <v>1.031E-3</v>
      </c>
      <c r="E59">
        <f t="shared" si="2"/>
        <v>13410.475388543562</v>
      </c>
      <c r="F59">
        <f t="shared" si="3"/>
        <v>13410.5</v>
      </c>
      <c r="G59">
        <f t="shared" si="4"/>
        <v>-4.5521349828050006E-2</v>
      </c>
      <c r="L59">
        <f t="shared" si="14"/>
        <v>-4.5521349828050006E-2</v>
      </c>
      <c r="O59">
        <f t="shared" ca="1" si="7"/>
        <v>0.11345313776136699</v>
      </c>
      <c r="P59">
        <f t="shared" ca="1" si="8"/>
        <v>-4.6390810075294053E-2</v>
      </c>
      <c r="Q59" s="2">
        <f t="shared" si="5"/>
        <v>44317.840278650168</v>
      </c>
      <c r="S59">
        <f>G59</f>
        <v>-4.5521349828050006E-2</v>
      </c>
      <c r="U59">
        <f t="shared" si="10"/>
        <v>0.10868004545910127</v>
      </c>
      <c r="W59">
        <f>(S59-U59)^2</f>
        <v>2.3778070308504276E-2</v>
      </c>
      <c r="Y59">
        <v>12000</v>
      </c>
      <c r="Z59">
        <f t="shared" si="11"/>
        <v>0.12088774517833641</v>
      </c>
      <c r="AA59">
        <f t="shared" si="9"/>
        <v>-6.3879548685587359E-2</v>
      </c>
    </row>
    <row r="60" spans="1:27" ht="12.95" customHeight="1" x14ac:dyDescent="0.2">
      <c r="A60" s="50" t="s">
        <v>70</v>
      </c>
      <c r="B60" s="50" t="s">
        <v>48</v>
      </c>
      <c r="C60" s="55">
        <v>59348.521379170008</v>
      </c>
      <c r="D60" s="56">
        <v>4.73E-4</v>
      </c>
      <c r="E60">
        <f t="shared" si="2"/>
        <v>13417.061191160257</v>
      </c>
      <c r="F60">
        <f t="shared" si="3"/>
        <v>13417</v>
      </c>
      <c r="G60">
        <f t="shared" si="4"/>
        <v>0.11317917001724709</v>
      </c>
      <c r="L60">
        <f t="shared" si="14"/>
        <v>0.11317917001724709</v>
      </c>
      <c r="O60">
        <f t="shared" ca="1" si="7"/>
        <v>0.11341774505345717</v>
      </c>
      <c r="P60">
        <f t="shared" ca="1" si="8"/>
        <v>-4.6322800667129738E-2</v>
      </c>
      <c r="Q60" s="2">
        <f t="shared" si="5"/>
        <v>44330.021379170008</v>
      </c>
      <c r="R60">
        <f t="shared" si="12"/>
        <v>0.11317917001724709</v>
      </c>
      <c r="U60">
        <f t="shared" si="10"/>
        <v>0.10858759334699916</v>
      </c>
      <c r="W60">
        <f t="shared" si="13"/>
        <v>2.1082576318765035E-5</v>
      </c>
      <c r="Y60">
        <v>12250</v>
      </c>
      <c r="Z60">
        <f t="shared" si="11"/>
        <v>0.11991187365954338</v>
      </c>
      <c r="AA60">
        <f t="shared" si="9"/>
        <v>-6.2903677166794333E-2</v>
      </c>
    </row>
    <row r="61" spans="1:27" ht="12.95" customHeight="1" x14ac:dyDescent="0.2">
      <c r="A61" s="50" t="s">
        <v>70</v>
      </c>
      <c r="B61" s="50" t="s">
        <v>45</v>
      </c>
      <c r="C61" s="55">
        <v>59349.287695790175</v>
      </c>
      <c r="D61" s="56">
        <v>1.049E-3</v>
      </c>
      <c r="E61">
        <f t="shared" si="2"/>
        <v>13417.475505941922</v>
      </c>
      <c r="F61">
        <f t="shared" si="3"/>
        <v>13417.5</v>
      </c>
      <c r="G61">
        <f t="shared" si="4"/>
        <v>-4.5304209823370911E-2</v>
      </c>
      <c r="L61">
        <f t="shared" si="14"/>
        <v>-4.5304209823370911E-2</v>
      </c>
      <c r="O61">
        <f t="shared" ca="1" si="7"/>
        <v>0.11341502253746411</v>
      </c>
      <c r="P61">
        <f t="shared" ca="1" si="8"/>
        <v>-4.6317569174194023E-2</v>
      </c>
      <c r="Q61" s="2">
        <f t="shared" si="5"/>
        <v>44330.787695790175</v>
      </c>
      <c r="S61">
        <f>G61</f>
        <v>-4.5304209823370911E-2</v>
      </c>
      <c r="U61">
        <f t="shared" si="10"/>
        <v>0.10858046876646349</v>
      </c>
      <c r="W61">
        <f>(S61-U61)^2</f>
        <v>2.3680494304696639E-2</v>
      </c>
      <c r="Y61">
        <v>12500</v>
      </c>
      <c r="Z61">
        <f t="shared" si="11"/>
        <v>0.11841140919892305</v>
      </c>
      <c r="AA61">
        <f t="shared" si="9"/>
        <v>-6.1403212706174007E-2</v>
      </c>
    </row>
    <row r="62" spans="1:27" ht="12.95" customHeight="1" x14ac:dyDescent="0.2">
      <c r="A62" s="50" t="s">
        <v>70</v>
      </c>
      <c r="B62" s="50" t="s">
        <v>48</v>
      </c>
      <c r="C62" s="55">
        <v>59359.618424199987</v>
      </c>
      <c r="D62" s="56">
        <v>4.84E-4</v>
      </c>
      <c r="E62">
        <f t="shared" si="2"/>
        <v>13423.060891111587</v>
      </c>
      <c r="F62">
        <f t="shared" si="3"/>
        <v>13423</v>
      </c>
      <c r="G62">
        <f t="shared" si="4"/>
        <v>0.11262419998820405</v>
      </c>
      <c r="L62">
        <f t="shared" si="14"/>
        <v>0.11262419998820405</v>
      </c>
      <c r="O62">
        <f t="shared" ca="1" si="7"/>
        <v>0.1133850748615404</v>
      </c>
      <c r="P62">
        <f t="shared" ca="1" si="8"/>
        <v>-4.6260022751901136E-2</v>
      </c>
      <c r="Q62" s="2">
        <f t="shared" si="5"/>
        <v>44341.118424199987</v>
      </c>
      <c r="R62">
        <f t="shared" si="12"/>
        <v>0.11262419998820405</v>
      </c>
      <c r="U62">
        <f t="shared" si="10"/>
        <v>0.10850197703428364</v>
      </c>
      <c r="W62">
        <f t="shared" si="13"/>
        <v>1.6992722081828307E-5</v>
      </c>
      <c r="Y62">
        <v>12750</v>
      </c>
      <c r="Z62">
        <f t="shared" si="11"/>
        <v>0.11639496302305816</v>
      </c>
      <c r="AA62">
        <f t="shared" si="9"/>
        <v>-5.938676653030911E-2</v>
      </c>
    </row>
    <row r="63" spans="1:27" ht="12.95" customHeight="1" x14ac:dyDescent="0.2">
      <c r="A63" s="50" t="s">
        <v>70</v>
      </c>
      <c r="B63" s="50" t="s">
        <v>45</v>
      </c>
      <c r="C63" s="55">
        <v>59360.385262640193</v>
      </c>
      <c r="D63" s="56">
        <v>1.1169999999999999E-3</v>
      </c>
      <c r="E63">
        <f t="shared" si="2"/>
        <v>13423.475488019138</v>
      </c>
      <c r="F63">
        <f t="shared" si="3"/>
        <v>13423.5</v>
      </c>
      <c r="G63">
        <f t="shared" si="4"/>
        <v>-4.5337359799304977E-2</v>
      </c>
      <c r="L63">
        <f t="shared" si="14"/>
        <v>-4.5337359799304977E-2</v>
      </c>
      <c r="O63">
        <f t="shared" ca="1" si="7"/>
        <v>0.11338235234554733</v>
      </c>
      <c r="P63">
        <f t="shared" ca="1" si="8"/>
        <v>-4.6254791258965394E-2</v>
      </c>
      <c r="Q63" s="2">
        <f t="shared" si="5"/>
        <v>44341.885262640193</v>
      </c>
      <c r="S63">
        <f>G63</f>
        <v>-4.5337359799304977E-2</v>
      </c>
      <c r="U63">
        <f t="shared" si="10"/>
        <v>0.10849483039504761</v>
      </c>
      <c r="W63">
        <f>(S63-U63)^2</f>
        <v>2.3664342739991462E-2</v>
      </c>
      <c r="Y63">
        <v>13000</v>
      </c>
      <c r="Z63">
        <f t="shared" si="11"/>
        <v>0.11387410759858677</v>
      </c>
      <c r="AA63">
        <f t="shared" si="9"/>
        <v>-5.6865911105837719E-2</v>
      </c>
    </row>
    <row r="64" spans="1:27" ht="12.95" customHeight="1" x14ac:dyDescent="0.2">
      <c r="A64" s="48" t="s">
        <v>69</v>
      </c>
      <c r="B64" s="49" t="s">
        <v>48</v>
      </c>
      <c r="C64" s="57">
        <v>59736.934433000162</v>
      </c>
      <c r="D64" s="58">
        <v>1.952E-3</v>
      </c>
      <c r="E64">
        <f t="shared" si="2"/>
        <v>13627.059598291613</v>
      </c>
      <c r="F64">
        <f t="shared" si="3"/>
        <v>13627</v>
      </c>
      <c r="G64">
        <f t="shared" si="4"/>
        <v>0.1102330001667724</v>
      </c>
      <c r="K64">
        <f>+G64</f>
        <v>0.1102330001667724</v>
      </c>
      <c r="O64">
        <f t="shared" ca="1" si="7"/>
        <v>0.11227428833637045</v>
      </c>
      <c r="P64">
        <f t="shared" ca="1" si="8"/>
        <v>-4.4125573634128473E-2</v>
      </c>
      <c r="Q64" s="2">
        <f t="shared" si="5"/>
        <v>44718.434433000162</v>
      </c>
      <c r="R64">
        <f t="shared" si="12"/>
        <v>0.1102330001667724</v>
      </c>
      <c r="U64">
        <f t="shared" si="10"/>
        <v>0.10543550502679049</v>
      </c>
      <c r="W64">
        <f t="shared" si="13"/>
        <v>2.3015959618150082E-5</v>
      </c>
      <c r="Y64">
        <v>13250</v>
      </c>
      <c r="Z64">
        <f t="shared" si="11"/>
        <v>0.11086331021734561</v>
      </c>
      <c r="AA64">
        <f t="shared" si="9"/>
        <v>-5.3855113724596559E-2</v>
      </c>
    </row>
    <row r="65" spans="1:27" ht="12.95" customHeight="1" x14ac:dyDescent="0.2">
      <c r="A65" s="48" t="s">
        <v>69</v>
      </c>
      <c r="B65" s="49" t="s">
        <v>48</v>
      </c>
      <c r="C65" s="57">
        <v>59748.031431000214</v>
      </c>
      <c r="D65" s="58">
        <v>1.7539999999999999E-3</v>
      </c>
      <c r="E65">
        <f t="shared" si="2"/>
        <v>13633.059272815863</v>
      </c>
      <c r="F65">
        <f t="shared" si="3"/>
        <v>13633</v>
      </c>
      <c r="G65">
        <f t="shared" si="4"/>
        <v>0.10963100021763239</v>
      </c>
      <c r="K65">
        <f>+G65</f>
        <v>0.10963100021763239</v>
      </c>
      <c r="O65">
        <f t="shared" ca="1" si="7"/>
        <v>0.11224161814445369</v>
      </c>
      <c r="P65">
        <f t="shared" ca="1" si="8"/>
        <v>-4.4062795718899844E-2</v>
      </c>
      <c r="Q65" s="2">
        <f t="shared" si="5"/>
        <v>44729.531431000214</v>
      </c>
      <c r="R65">
        <f t="shared" si="12"/>
        <v>0.10963100021763239</v>
      </c>
      <c r="U65">
        <f t="shared" si="10"/>
        <v>0.10534080327641285</v>
      </c>
      <c r="W65">
        <f t="shared" si="13"/>
        <v>1.840578979444952E-5</v>
      </c>
      <c r="Y65">
        <v>13500</v>
      </c>
      <c r="Z65">
        <f t="shared" si="11"/>
        <v>0.1073798499679935</v>
      </c>
      <c r="AA65">
        <f t="shared" si="9"/>
        <v>-5.0371653475244457E-2</v>
      </c>
    </row>
    <row r="66" spans="1:27" ht="12.95" customHeight="1" x14ac:dyDescent="0.2">
      <c r="A66" s="51" t="s">
        <v>69</v>
      </c>
      <c r="B66" s="52" t="s">
        <v>48</v>
      </c>
      <c r="C66" s="59">
        <v>60167.888474000152</v>
      </c>
      <c r="D66" s="60">
        <v>1.317E-3</v>
      </c>
      <c r="E66">
        <f t="shared" ref="E66" si="15">+(C66-C$7)/C$8</f>
        <v>13860.058106617731</v>
      </c>
      <c r="F66">
        <f t="shared" si="3"/>
        <v>13860</v>
      </c>
      <c r="G66">
        <f t="shared" ref="G66" si="16">+C66-(C$7+F66*C$8)</f>
        <v>0.10747400015679887</v>
      </c>
      <c r="K66">
        <f>+G66</f>
        <v>0.10747400015679887</v>
      </c>
      <c r="O66">
        <f t="shared" ref="O66" ca="1" si="17">+C$11+C$12*$F66</f>
        <v>0.1110055958836028</v>
      </c>
      <c r="P66">
        <f t="shared" ref="P66" ca="1" si="18">+D$11+D$12*$F66</f>
        <v>-4.1687697926084205E-2</v>
      </c>
      <c r="Q66" s="2">
        <f t="shared" ref="Q66" si="19">+C66-15018.5</f>
        <v>45149.388474000152</v>
      </c>
      <c r="R66">
        <f t="shared" ref="R66" si="20">G66</f>
        <v>0.10747400015679887</v>
      </c>
      <c r="U66">
        <f t="shared" ref="U66" si="21">Z$3*SIN((F66-Z$2)*2*PI()/Z$4)+Z$1</f>
        <v>0.10157414447782308</v>
      </c>
      <c r="W66">
        <f t="shared" ref="W66" si="22">(R66-U66)^2</f>
        <v>3.4808297032742853E-5</v>
      </c>
      <c r="Y66">
        <v>13750</v>
      </c>
      <c r="Z66">
        <f t="shared" si="11"/>
        <v>0.10344371857061868</v>
      </c>
      <c r="AA66">
        <f t="shared" si="9"/>
        <v>-4.6435522077869634E-2</v>
      </c>
    </row>
    <row r="67" spans="1:27" ht="12.95" customHeight="1" x14ac:dyDescent="0.2">
      <c r="C67" s="61"/>
      <c r="D67" s="61"/>
    </row>
    <row r="68" spans="1:27" ht="12.95" customHeight="1" x14ac:dyDescent="0.2">
      <c r="C68" s="61"/>
      <c r="D68" s="61"/>
    </row>
    <row r="69" spans="1:27" ht="12.95" customHeight="1" x14ac:dyDescent="0.2">
      <c r="C69" s="61"/>
      <c r="D69" s="61"/>
    </row>
    <row r="70" spans="1:27" ht="12.95" customHeight="1" x14ac:dyDescent="0.2">
      <c r="C70" s="61"/>
      <c r="D70" s="61"/>
    </row>
    <row r="71" spans="1:27" ht="12.95" customHeight="1" x14ac:dyDescent="0.2">
      <c r="C71" s="61"/>
      <c r="D71" s="61"/>
    </row>
    <row r="72" spans="1:27" ht="12.95" customHeight="1" x14ac:dyDescent="0.2">
      <c r="C72" s="61"/>
      <c r="D72" s="61"/>
    </row>
    <row r="73" spans="1:27" ht="12.95" customHeight="1" x14ac:dyDescent="0.2">
      <c r="C73" s="61"/>
      <c r="D73" s="61"/>
    </row>
    <row r="74" spans="1:27" ht="12.95" customHeight="1" x14ac:dyDescent="0.2">
      <c r="C74" s="61"/>
      <c r="D74" s="61"/>
    </row>
    <row r="75" spans="1:27" ht="12.95" customHeight="1" x14ac:dyDescent="0.2">
      <c r="C75" s="61"/>
      <c r="D75" s="61"/>
    </row>
    <row r="76" spans="1:27" ht="12.95" customHeight="1" x14ac:dyDescent="0.2">
      <c r="C76" s="61"/>
      <c r="D76" s="61"/>
    </row>
    <row r="77" spans="1:27" ht="12.95" customHeight="1" x14ac:dyDescent="0.2">
      <c r="C77" s="61"/>
      <c r="D77" s="61"/>
    </row>
    <row r="78" spans="1:27" ht="12.95" customHeight="1" x14ac:dyDescent="0.2">
      <c r="C78" s="61"/>
      <c r="D78" s="61"/>
    </row>
    <row r="79" spans="1:27" ht="12.95" customHeight="1" x14ac:dyDescent="0.2">
      <c r="C79" s="61"/>
      <c r="D79" s="61"/>
    </row>
    <row r="80" spans="1:27" ht="12.95" customHeight="1" x14ac:dyDescent="0.2">
      <c r="C80" s="61"/>
      <c r="D80" s="61"/>
    </row>
    <row r="81" spans="3:4" ht="12.95" customHeight="1" x14ac:dyDescent="0.2">
      <c r="C81" s="61"/>
      <c r="D81" s="61"/>
    </row>
    <row r="82" spans="3:4" ht="12.95" customHeight="1" x14ac:dyDescent="0.2">
      <c r="C82" s="61"/>
      <c r="D82" s="61"/>
    </row>
    <row r="83" spans="3:4" ht="12.95" customHeight="1" x14ac:dyDescent="0.2">
      <c r="C83" s="61"/>
      <c r="D83" s="61"/>
    </row>
    <row r="84" spans="3:4" ht="12.95" customHeight="1" x14ac:dyDescent="0.2">
      <c r="C84" s="61"/>
      <c r="D84" s="61"/>
    </row>
    <row r="85" spans="3:4" ht="12.95" customHeight="1" x14ac:dyDescent="0.2">
      <c r="C85" s="61"/>
      <c r="D85" s="61"/>
    </row>
    <row r="86" spans="3:4" ht="12.95" customHeight="1" x14ac:dyDescent="0.2">
      <c r="C86" s="61"/>
      <c r="D86" s="61"/>
    </row>
    <row r="87" spans="3:4" ht="12.95" customHeight="1" x14ac:dyDescent="0.2">
      <c r="C87" s="61"/>
      <c r="D87" s="61"/>
    </row>
    <row r="88" spans="3:4" ht="12.95" customHeight="1" x14ac:dyDescent="0.2">
      <c r="C88" s="61"/>
      <c r="D88" s="61"/>
    </row>
    <row r="89" spans="3:4" ht="12.95" customHeight="1" x14ac:dyDescent="0.2">
      <c r="C89" s="61"/>
      <c r="D89" s="61"/>
    </row>
    <row r="90" spans="3:4" ht="12.95" customHeight="1" x14ac:dyDescent="0.2">
      <c r="C90" s="61"/>
      <c r="D90" s="61"/>
    </row>
    <row r="91" spans="3:4" ht="12.95" customHeight="1" x14ac:dyDescent="0.2">
      <c r="C91" s="61"/>
      <c r="D91" s="61"/>
    </row>
    <row r="92" spans="3:4" ht="12.95" customHeight="1" x14ac:dyDescent="0.2">
      <c r="C92" s="61"/>
      <c r="D92" s="61"/>
    </row>
    <row r="93" spans="3:4" ht="12.95" customHeight="1" x14ac:dyDescent="0.2">
      <c r="C93" s="61"/>
      <c r="D93" s="61"/>
    </row>
    <row r="94" spans="3:4" ht="12.95" customHeight="1" x14ac:dyDescent="0.2">
      <c r="C94" s="61"/>
      <c r="D94" s="61"/>
    </row>
    <row r="95" spans="3:4" ht="12.95" customHeight="1" x14ac:dyDescent="0.2">
      <c r="C95" s="61"/>
      <c r="D95" s="61"/>
    </row>
    <row r="96" spans="3:4" ht="12.95" customHeight="1" x14ac:dyDescent="0.2">
      <c r="C96" s="61"/>
      <c r="D96" s="61"/>
    </row>
    <row r="97" spans="3:4" ht="12.95" customHeight="1" x14ac:dyDescent="0.2">
      <c r="C97" s="61"/>
      <c r="D97" s="61"/>
    </row>
    <row r="98" spans="3:4" ht="12.95" customHeight="1" x14ac:dyDescent="0.2">
      <c r="C98" s="61"/>
      <c r="D98" s="61"/>
    </row>
    <row r="99" spans="3:4" ht="12.95" customHeight="1" x14ac:dyDescent="0.2">
      <c r="C99" s="61"/>
      <c r="D99" s="61"/>
    </row>
    <row r="100" spans="3:4" ht="12.95" customHeight="1" x14ac:dyDescent="0.2">
      <c r="C100" s="61"/>
      <c r="D100" s="61"/>
    </row>
    <row r="101" spans="3:4" ht="12.95" customHeight="1" x14ac:dyDescent="0.2">
      <c r="C101" s="61"/>
      <c r="D101" s="61"/>
    </row>
    <row r="102" spans="3:4" ht="12.95" customHeight="1" x14ac:dyDescent="0.2">
      <c r="C102" s="61"/>
      <c r="D102" s="61"/>
    </row>
    <row r="103" spans="3:4" ht="12.95" customHeight="1" x14ac:dyDescent="0.2">
      <c r="C103" s="61"/>
      <c r="D103" s="61"/>
    </row>
    <row r="104" spans="3:4" ht="12.95" customHeight="1" x14ac:dyDescent="0.2">
      <c r="C104" s="61"/>
      <c r="D104" s="61"/>
    </row>
    <row r="105" spans="3:4" ht="12.95" customHeight="1" x14ac:dyDescent="0.2">
      <c r="C105" s="61"/>
      <c r="D105" s="61"/>
    </row>
    <row r="106" spans="3:4" ht="12.95" customHeight="1" x14ac:dyDescent="0.2">
      <c r="C106" s="61"/>
      <c r="D106" s="61"/>
    </row>
    <row r="107" spans="3:4" ht="12.95" customHeight="1" x14ac:dyDescent="0.2">
      <c r="C107" s="61"/>
      <c r="D107" s="61"/>
    </row>
    <row r="108" spans="3:4" ht="12.95" customHeight="1" x14ac:dyDescent="0.2">
      <c r="C108" s="61"/>
      <c r="D108" s="61"/>
    </row>
    <row r="109" spans="3:4" ht="12.95" customHeight="1" x14ac:dyDescent="0.2">
      <c r="C109" s="61"/>
      <c r="D109" s="61"/>
    </row>
    <row r="110" spans="3:4" ht="12.95" customHeight="1" x14ac:dyDescent="0.2">
      <c r="C110" s="61"/>
      <c r="D110" s="61"/>
    </row>
    <row r="111" spans="3:4" ht="12.95" customHeight="1" x14ac:dyDescent="0.2">
      <c r="C111" s="61"/>
      <c r="D111" s="61"/>
    </row>
    <row r="112" spans="3:4" ht="12.95" customHeight="1" x14ac:dyDescent="0.2">
      <c r="C112" s="61"/>
      <c r="D112" s="61"/>
    </row>
    <row r="113" spans="3:4" ht="12.95" customHeight="1" x14ac:dyDescent="0.2">
      <c r="C113" s="61"/>
      <c r="D113" s="61"/>
    </row>
    <row r="114" spans="3:4" ht="12.95" customHeight="1" x14ac:dyDescent="0.2">
      <c r="C114" s="61"/>
      <c r="D114" s="61"/>
    </row>
    <row r="115" spans="3:4" ht="12.95" customHeight="1" x14ac:dyDescent="0.2">
      <c r="C115" s="61"/>
      <c r="D115" s="61"/>
    </row>
    <row r="116" spans="3:4" ht="12.95" customHeight="1" x14ac:dyDescent="0.2">
      <c r="C116" s="61"/>
      <c r="D116" s="61"/>
    </row>
    <row r="117" spans="3:4" ht="12.95" customHeight="1" x14ac:dyDescent="0.2">
      <c r="C117" s="61"/>
      <c r="D117" s="61"/>
    </row>
    <row r="118" spans="3:4" ht="12.95" customHeight="1" x14ac:dyDescent="0.2">
      <c r="C118" s="61"/>
      <c r="D118" s="61"/>
    </row>
    <row r="119" spans="3:4" ht="12.95" customHeight="1" x14ac:dyDescent="0.2">
      <c r="C119" s="61"/>
      <c r="D119" s="61"/>
    </row>
    <row r="120" spans="3:4" ht="12.95" customHeight="1" x14ac:dyDescent="0.2">
      <c r="C120" s="61"/>
      <c r="D120" s="61"/>
    </row>
    <row r="121" spans="3:4" ht="12.95" customHeight="1" x14ac:dyDescent="0.2">
      <c r="C121" s="61"/>
      <c r="D121" s="61"/>
    </row>
    <row r="122" spans="3:4" ht="12.95" customHeight="1" x14ac:dyDescent="0.2">
      <c r="C122" s="61"/>
      <c r="D122" s="61"/>
    </row>
    <row r="123" spans="3:4" ht="12.95" customHeight="1" x14ac:dyDescent="0.2">
      <c r="C123" s="61"/>
      <c r="D123" s="61"/>
    </row>
    <row r="124" spans="3:4" ht="12.95" customHeight="1" x14ac:dyDescent="0.2">
      <c r="C124" s="61"/>
      <c r="D124" s="61"/>
    </row>
    <row r="125" spans="3:4" ht="12.95" customHeight="1" x14ac:dyDescent="0.2">
      <c r="C125" s="61"/>
      <c r="D125" s="61"/>
    </row>
    <row r="126" spans="3:4" ht="12.95" customHeight="1" x14ac:dyDescent="0.2">
      <c r="C126" s="61"/>
      <c r="D126" s="61"/>
    </row>
    <row r="127" spans="3:4" ht="12.95" customHeight="1" x14ac:dyDescent="0.2">
      <c r="C127" s="61"/>
      <c r="D127" s="61"/>
    </row>
    <row r="128" spans="3:4" ht="12.95" customHeight="1" x14ac:dyDescent="0.2">
      <c r="C128" s="61"/>
      <c r="D128" s="61"/>
    </row>
    <row r="129" spans="3:4" ht="12.95" customHeight="1" x14ac:dyDescent="0.2">
      <c r="C129" s="61"/>
      <c r="D129" s="61"/>
    </row>
    <row r="130" spans="3:4" ht="12.95" customHeight="1" x14ac:dyDescent="0.2">
      <c r="C130" s="61"/>
      <c r="D130" s="61"/>
    </row>
    <row r="131" spans="3:4" ht="12.95" customHeight="1" x14ac:dyDescent="0.2">
      <c r="C131" s="61"/>
      <c r="D131" s="61"/>
    </row>
    <row r="132" spans="3:4" ht="12.95" customHeight="1" x14ac:dyDescent="0.2">
      <c r="C132" s="61"/>
      <c r="D132" s="61"/>
    </row>
    <row r="133" spans="3:4" ht="12.95" customHeight="1" x14ac:dyDescent="0.2">
      <c r="C133" s="61"/>
      <c r="D133" s="61"/>
    </row>
    <row r="134" spans="3:4" ht="12.95" customHeight="1" x14ac:dyDescent="0.2">
      <c r="C134" s="61"/>
      <c r="D134" s="61"/>
    </row>
    <row r="135" spans="3:4" ht="12.95" customHeight="1" x14ac:dyDescent="0.2">
      <c r="C135" s="61"/>
      <c r="D135" s="61"/>
    </row>
    <row r="136" spans="3:4" ht="12.95" customHeight="1" x14ac:dyDescent="0.2">
      <c r="C136" s="61"/>
      <c r="D136" s="61"/>
    </row>
    <row r="137" spans="3:4" ht="12.95" customHeight="1" x14ac:dyDescent="0.2">
      <c r="C137" s="61"/>
      <c r="D137" s="61"/>
    </row>
    <row r="138" spans="3:4" ht="12.95" customHeight="1" x14ac:dyDescent="0.2">
      <c r="C138" s="61"/>
      <c r="D138" s="61"/>
    </row>
    <row r="139" spans="3:4" ht="12.95" customHeight="1" x14ac:dyDescent="0.2">
      <c r="C139" s="61"/>
      <c r="D139" s="61"/>
    </row>
    <row r="140" spans="3:4" ht="12.95" customHeight="1" x14ac:dyDescent="0.2">
      <c r="C140" s="61"/>
      <c r="D140" s="61"/>
    </row>
    <row r="141" spans="3:4" ht="12.95" customHeight="1" x14ac:dyDescent="0.2">
      <c r="C141" s="61"/>
      <c r="D141" s="61"/>
    </row>
    <row r="142" spans="3:4" ht="12.95" customHeight="1" x14ac:dyDescent="0.2">
      <c r="C142" s="61"/>
      <c r="D142" s="61"/>
    </row>
    <row r="143" spans="3:4" ht="12.95" customHeight="1" x14ac:dyDescent="0.2">
      <c r="C143" s="61"/>
      <c r="D143" s="61"/>
    </row>
    <row r="144" spans="3:4" ht="12.95" customHeight="1" x14ac:dyDescent="0.2">
      <c r="C144" s="61"/>
      <c r="D144" s="61"/>
    </row>
    <row r="145" spans="3:4" ht="12.95" customHeight="1" x14ac:dyDescent="0.2">
      <c r="C145" s="61"/>
      <c r="D145" s="61"/>
    </row>
    <row r="146" spans="3:4" ht="12.95" customHeight="1" x14ac:dyDescent="0.2">
      <c r="C146" s="61"/>
      <c r="D146" s="61"/>
    </row>
    <row r="147" spans="3:4" ht="12.95" customHeight="1" x14ac:dyDescent="0.2">
      <c r="C147" s="61"/>
      <c r="D147" s="61"/>
    </row>
    <row r="148" spans="3:4" ht="12.95" customHeight="1" x14ac:dyDescent="0.2">
      <c r="C148" s="61"/>
      <c r="D148" s="61"/>
    </row>
    <row r="149" spans="3:4" ht="12.95" customHeight="1" x14ac:dyDescent="0.2">
      <c r="C149" s="61"/>
      <c r="D149" s="61"/>
    </row>
    <row r="150" spans="3:4" ht="12.95" customHeight="1" x14ac:dyDescent="0.2">
      <c r="C150" s="61"/>
      <c r="D150" s="61"/>
    </row>
    <row r="151" spans="3:4" ht="12.95" customHeight="1" x14ac:dyDescent="0.2">
      <c r="C151" s="61"/>
      <c r="D151" s="61"/>
    </row>
    <row r="152" spans="3:4" ht="12.95" customHeight="1" x14ac:dyDescent="0.2">
      <c r="C152" s="61"/>
      <c r="D152" s="61"/>
    </row>
    <row r="153" spans="3:4" ht="12.95" customHeight="1" x14ac:dyDescent="0.2">
      <c r="C153" s="61"/>
      <c r="D153" s="61"/>
    </row>
    <row r="154" spans="3:4" ht="12.95" customHeight="1" x14ac:dyDescent="0.2">
      <c r="C154" s="61"/>
      <c r="D154" s="61"/>
    </row>
    <row r="155" spans="3:4" ht="12.95" customHeight="1" x14ac:dyDescent="0.2">
      <c r="C155" s="61"/>
      <c r="D155" s="61"/>
    </row>
    <row r="156" spans="3:4" ht="12.95" customHeight="1" x14ac:dyDescent="0.2">
      <c r="C156" s="61"/>
      <c r="D156" s="61"/>
    </row>
    <row r="157" spans="3:4" ht="12.95" customHeight="1" x14ac:dyDescent="0.2">
      <c r="C157" s="61"/>
      <c r="D157" s="61"/>
    </row>
    <row r="158" spans="3:4" ht="12.95" customHeight="1" x14ac:dyDescent="0.2">
      <c r="C158" s="61"/>
      <c r="D158" s="61"/>
    </row>
    <row r="159" spans="3:4" ht="12.95" customHeight="1" x14ac:dyDescent="0.2">
      <c r="C159" s="61"/>
      <c r="D159" s="61"/>
    </row>
    <row r="160" spans="3:4" ht="12.95" customHeight="1" x14ac:dyDescent="0.2">
      <c r="C160" s="61"/>
      <c r="D160" s="61"/>
    </row>
    <row r="161" spans="3:4" ht="12.95" customHeight="1" x14ac:dyDescent="0.2">
      <c r="C161" s="61"/>
      <c r="D161" s="61"/>
    </row>
    <row r="162" spans="3:4" ht="12.95" customHeight="1" x14ac:dyDescent="0.2">
      <c r="C162" s="61"/>
      <c r="D162" s="61"/>
    </row>
    <row r="163" spans="3:4" ht="12.95" customHeight="1" x14ac:dyDescent="0.2">
      <c r="C163" s="61"/>
      <c r="D163" s="61"/>
    </row>
    <row r="164" spans="3:4" ht="12.95" customHeight="1" x14ac:dyDescent="0.2">
      <c r="C164" s="61"/>
      <c r="D164" s="61"/>
    </row>
    <row r="165" spans="3:4" ht="12.95" customHeight="1" x14ac:dyDescent="0.2">
      <c r="C165" s="61"/>
      <c r="D165" s="61"/>
    </row>
    <row r="166" spans="3:4" ht="12.95" customHeight="1" x14ac:dyDescent="0.2">
      <c r="C166" s="61"/>
      <c r="D166" s="61"/>
    </row>
    <row r="167" spans="3:4" ht="12.95" customHeight="1" x14ac:dyDescent="0.2">
      <c r="C167" s="61"/>
      <c r="D167" s="61"/>
    </row>
    <row r="168" spans="3:4" ht="12.95" customHeight="1" x14ac:dyDescent="0.2">
      <c r="C168" s="61"/>
      <c r="D168" s="61"/>
    </row>
    <row r="169" spans="3:4" ht="12.95" customHeight="1" x14ac:dyDescent="0.2">
      <c r="C169" s="61"/>
      <c r="D169" s="61"/>
    </row>
    <row r="170" spans="3:4" ht="12.95" customHeight="1" x14ac:dyDescent="0.2">
      <c r="C170" s="61"/>
      <c r="D170" s="61"/>
    </row>
    <row r="171" spans="3:4" ht="12.95" customHeight="1" x14ac:dyDescent="0.2">
      <c r="C171" s="61"/>
      <c r="D171" s="61"/>
    </row>
    <row r="172" spans="3:4" ht="12.95" customHeight="1" x14ac:dyDescent="0.2">
      <c r="C172" s="61"/>
      <c r="D172" s="61"/>
    </row>
    <row r="173" spans="3:4" ht="12.95" customHeight="1" x14ac:dyDescent="0.2">
      <c r="C173" s="61"/>
      <c r="D173" s="61"/>
    </row>
    <row r="174" spans="3:4" ht="12.95" customHeight="1" x14ac:dyDescent="0.2">
      <c r="C174" s="61"/>
      <c r="D174" s="61"/>
    </row>
    <row r="175" spans="3:4" ht="12.95" customHeight="1" x14ac:dyDescent="0.2">
      <c r="C175" s="61"/>
      <c r="D175" s="61"/>
    </row>
    <row r="176" spans="3:4" ht="12.95" customHeight="1" x14ac:dyDescent="0.2">
      <c r="C176" s="61"/>
      <c r="D176" s="61"/>
    </row>
    <row r="177" spans="3:4" ht="12.95" customHeight="1" x14ac:dyDescent="0.2">
      <c r="C177" s="61"/>
      <c r="D177" s="61"/>
    </row>
    <row r="178" spans="3:4" ht="12.95" customHeight="1" x14ac:dyDescent="0.2">
      <c r="C178" s="61"/>
      <c r="D178" s="61"/>
    </row>
    <row r="179" spans="3:4" ht="12.95" customHeight="1" x14ac:dyDescent="0.2">
      <c r="C179" s="61"/>
      <c r="D179" s="61"/>
    </row>
    <row r="180" spans="3:4" ht="12.95" customHeight="1" x14ac:dyDescent="0.2">
      <c r="C180" s="61"/>
      <c r="D180" s="61"/>
    </row>
    <row r="181" spans="3:4" ht="12.95" customHeight="1" x14ac:dyDescent="0.2">
      <c r="C181" s="61"/>
      <c r="D181" s="61"/>
    </row>
    <row r="182" spans="3:4" ht="12.95" customHeight="1" x14ac:dyDescent="0.2">
      <c r="C182" s="61"/>
      <c r="D182" s="61"/>
    </row>
    <row r="183" spans="3:4" ht="12.95" customHeight="1" x14ac:dyDescent="0.2">
      <c r="C183" s="61"/>
      <c r="D183" s="61"/>
    </row>
    <row r="184" spans="3:4" ht="12.95" customHeight="1" x14ac:dyDescent="0.2">
      <c r="C184" s="61"/>
      <c r="D184" s="61"/>
    </row>
    <row r="185" spans="3:4" ht="12.95" customHeight="1" x14ac:dyDescent="0.2">
      <c r="C185" s="61"/>
      <c r="D185" s="61"/>
    </row>
    <row r="186" spans="3:4" ht="12.95" customHeight="1" x14ac:dyDescent="0.2">
      <c r="C186" s="61"/>
      <c r="D186" s="61"/>
    </row>
    <row r="187" spans="3:4" ht="12.95" customHeight="1" x14ac:dyDescent="0.2">
      <c r="C187" s="61"/>
      <c r="D187" s="61"/>
    </row>
    <row r="188" spans="3:4" ht="12.95" customHeight="1" x14ac:dyDescent="0.2">
      <c r="C188" s="61"/>
      <c r="D188" s="61"/>
    </row>
    <row r="189" spans="3:4" ht="12.95" customHeight="1" x14ac:dyDescent="0.2">
      <c r="C189" s="61"/>
      <c r="D189" s="61"/>
    </row>
    <row r="190" spans="3:4" ht="12.95" customHeight="1" x14ac:dyDescent="0.2">
      <c r="C190" s="61"/>
      <c r="D190" s="61"/>
    </row>
    <row r="191" spans="3:4" ht="12.95" customHeight="1" x14ac:dyDescent="0.2">
      <c r="C191" s="61"/>
      <c r="D191" s="61"/>
    </row>
    <row r="192" spans="3:4" ht="12.95" customHeight="1" x14ac:dyDescent="0.2">
      <c r="C192" s="61"/>
      <c r="D192" s="61"/>
    </row>
    <row r="193" spans="3:4" ht="12.95" customHeight="1" x14ac:dyDescent="0.2">
      <c r="C193" s="61"/>
      <c r="D193" s="61"/>
    </row>
    <row r="194" spans="3:4" ht="12.95" customHeight="1" x14ac:dyDescent="0.2">
      <c r="C194" s="61"/>
      <c r="D194" s="61"/>
    </row>
    <row r="195" spans="3:4" ht="12.95" customHeight="1" x14ac:dyDescent="0.2">
      <c r="C195" s="61"/>
      <c r="D195" s="61"/>
    </row>
    <row r="196" spans="3:4" ht="12.95" customHeight="1" x14ac:dyDescent="0.2">
      <c r="C196" s="61"/>
      <c r="D196" s="61"/>
    </row>
    <row r="197" spans="3:4" ht="12.95" customHeight="1" x14ac:dyDescent="0.2">
      <c r="C197" s="61"/>
      <c r="D197" s="61"/>
    </row>
    <row r="198" spans="3:4" ht="12.95" customHeight="1" x14ac:dyDescent="0.2">
      <c r="C198" s="61"/>
      <c r="D198" s="61"/>
    </row>
    <row r="199" spans="3:4" ht="12.95" customHeight="1" x14ac:dyDescent="0.2">
      <c r="C199" s="61"/>
      <c r="D199" s="61"/>
    </row>
    <row r="200" spans="3:4" ht="12.95" customHeight="1" x14ac:dyDescent="0.2">
      <c r="C200" s="61"/>
      <c r="D200" s="61"/>
    </row>
    <row r="201" spans="3:4" ht="12.95" customHeight="1" x14ac:dyDescent="0.2">
      <c r="C201" s="61"/>
      <c r="D201" s="61"/>
    </row>
    <row r="202" spans="3:4" ht="12.95" customHeight="1" x14ac:dyDescent="0.2">
      <c r="C202" s="61"/>
      <c r="D202" s="61"/>
    </row>
    <row r="203" spans="3:4" ht="12.95" customHeight="1" x14ac:dyDescent="0.2">
      <c r="C203" s="61"/>
      <c r="D203" s="61"/>
    </row>
    <row r="204" spans="3:4" ht="12.95" customHeight="1" x14ac:dyDescent="0.2">
      <c r="C204" s="61"/>
      <c r="D204" s="61"/>
    </row>
    <row r="205" spans="3:4" ht="12.95" customHeight="1" x14ac:dyDescent="0.2">
      <c r="C205" s="61"/>
      <c r="D205" s="61"/>
    </row>
    <row r="206" spans="3:4" ht="12.95" customHeight="1" x14ac:dyDescent="0.2">
      <c r="C206" s="61"/>
      <c r="D206" s="61"/>
    </row>
    <row r="207" spans="3:4" ht="12.95" customHeight="1" x14ac:dyDescent="0.2">
      <c r="C207" s="61"/>
      <c r="D207" s="61"/>
    </row>
    <row r="208" spans="3:4" ht="12.95" customHeight="1" x14ac:dyDescent="0.2">
      <c r="C208" s="61"/>
      <c r="D208" s="61"/>
    </row>
    <row r="209" spans="3:4" ht="12.95" customHeight="1" x14ac:dyDescent="0.2">
      <c r="C209" s="61"/>
      <c r="D209" s="61"/>
    </row>
    <row r="210" spans="3:4" ht="12.95" customHeight="1" x14ac:dyDescent="0.2">
      <c r="C210" s="61"/>
      <c r="D210" s="61"/>
    </row>
    <row r="211" spans="3:4" ht="12.95" customHeight="1" x14ac:dyDescent="0.2">
      <c r="C211" s="61"/>
      <c r="D211" s="61"/>
    </row>
    <row r="212" spans="3:4" ht="12.95" customHeight="1" x14ac:dyDescent="0.2">
      <c r="C212" s="61"/>
      <c r="D212" s="61"/>
    </row>
    <row r="213" spans="3:4" ht="12.95" customHeight="1" x14ac:dyDescent="0.2">
      <c r="C213" s="61"/>
      <c r="D213" s="61"/>
    </row>
    <row r="214" spans="3:4" ht="12.95" customHeight="1" x14ac:dyDescent="0.2">
      <c r="C214" s="61"/>
      <c r="D214" s="61"/>
    </row>
    <row r="215" spans="3:4" ht="12.95" customHeight="1" x14ac:dyDescent="0.2">
      <c r="C215" s="61"/>
      <c r="D215" s="61"/>
    </row>
    <row r="216" spans="3:4" x14ac:dyDescent="0.2">
      <c r="C216" s="61"/>
      <c r="D216" s="61"/>
    </row>
    <row r="217" spans="3:4" x14ac:dyDescent="0.2">
      <c r="C217" s="61"/>
      <c r="D217" s="61"/>
    </row>
    <row r="218" spans="3:4" x14ac:dyDescent="0.2">
      <c r="C218" s="61"/>
      <c r="D218" s="61"/>
    </row>
  </sheetData>
  <sortState xmlns:xlrd2="http://schemas.microsoft.com/office/spreadsheetml/2017/richdata2" ref="A21:X65">
    <sortCondition ref="C21:C65"/>
  </sortState>
  <phoneticPr fontId="7" type="noConversion"/>
  <hyperlinks>
    <hyperlink ref="H63877" r:id="rId1" display="http://vsolj.cetus-net.org/bulletin.html" xr:uid="{00000000-0004-0000-0000-000000000000}"/>
    <hyperlink ref="H63870" r:id="rId2" display="https://www.aavso.org/ejaavso" xr:uid="{00000000-0004-0000-0000-000001000000}"/>
    <hyperlink ref="I63877" r:id="rId3" display="http://vsolj.cetus-net.org/bulletin.html" xr:uid="{00000000-0004-0000-0000-000002000000}"/>
    <hyperlink ref="AQ57528" r:id="rId4" display="http://cdsbib.u-strasbg.fr/cgi-bin/cdsbib?1990RMxAA..21..381G" xr:uid="{00000000-0004-0000-0000-000003000000}"/>
    <hyperlink ref="H63874" r:id="rId5" display="https://www.aavso.org/ejaavso" xr:uid="{00000000-0004-0000-0000-000004000000}"/>
    <hyperlink ref="AP4892" r:id="rId6" display="http://cdsbib.u-strasbg.fr/cgi-bin/cdsbib?1990RMxAA..21..381G" xr:uid="{00000000-0004-0000-0000-000005000000}"/>
    <hyperlink ref="AP4895" r:id="rId7" display="http://cdsbib.u-strasbg.fr/cgi-bin/cdsbib?1990RMxAA..21..381G" xr:uid="{00000000-0004-0000-0000-000006000000}"/>
    <hyperlink ref="AP4893" r:id="rId8" display="http://cdsbib.u-strasbg.fr/cgi-bin/cdsbib?1990RMxAA..21..381G" xr:uid="{00000000-0004-0000-0000-000007000000}"/>
    <hyperlink ref="AP4877" r:id="rId9" display="http://cdsbib.u-strasbg.fr/cgi-bin/cdsbib?1990RMxAA..21..381G" xr:uid="{00000000-0004-0000-0000-000008000000}"/>
    <hyperlink ref="AQ5106" r:id="rId10" display="http://cdsbib.u-strasbg.fr/cgi-bin/cdsbib?1990RMxAA..21..381G" xr:uid="{00000000-0004-0000-0000-000009000000}"/>
    <hyperlink ref="AQ5110" r:id="rId11" display="http://cdsbib.u-strasbg.fr/cgi-bin/cdsbib?1990RMxAA..21..381G" xr:uid="{00000000-0004-0000-0000-00000A000000}"/>
    <hyperlink ref="AQ64790" r:id="rId12" display="http://cdsbib.u-strasbg.fr/cgi-bin/cdsbib?1990RMxAA..21..381G" xr:uid="{00000000-0004-0000-0000-00000B000000}"/>
    <hyperlink ref="I1998" r:id="rId13" display="http://vsolj.cetus-net.org/bulletin.html" xr:uid="{00000000-0004-0000-0000-00000C000000}"/>
    <hyperlink ref="H1998" r:id="rId14" display="http://vsolj.cetus-net.org/bulletin.html" xr:uid="{00000000-0004-0000-0000-00000D000000}"/>
    <hyperlink ref="AQ65451" r:id="rId15" display="http://cdsbib.u-strasbg.fr/cgi-bin/cdsbib?1990RMxAA..21..381G" xr:uid="{00000000-0004-0000-0000-00000E000000}"/>
    <hyperlink ref="AQ65450" r:id="rId16" display="http://cdsbib.u-strasbg.fr/cgi-bin/cdsbib?1990RMxAA..21..381G" xr:uid="{00000000-0004-0000-0000-00000F000000}"/>
    <hyperlink ref="AP3168" r:id="rId17" display="http://cdsbib.u-strasbg.fr/cgi-bin/cdsbib?1990RMxAA..21..381G" xr:uid="{00000000-0004-0000-0000-000010000000}"/>
    <hyperlink ref="AP3186" r:id="rId18" display="http://cdsbib.u-strasbg.fr/cgi-bin/cdsbib?1990RMxAA..21..381G" xr:uid="{00000000-0004-0000-0000-000011000000}"/>
    <hyperlink ref="AP3187" r:id="rId19" display="http://cdsbib.u-strasbg.fr/cgi-bin/cdsbib?1990RMxAA..21..381G" xr:uid="{00000000-0004-0000-0000-000012000000}"/>
    <hyperlink ref="AP3183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AF25-CD9F-4280-99F5-CE1D0559551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2024-01-16T05:24:58Z</dcterms:modified>
</cp:coreProperties>
</file>