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6C0E0CF-3A0D-4DFC-9A40-FB27EFFED70D}" xr6:coauthVersionLast="47" xr6:coauthVersionMax="47" xr10:uidLastSave="{00000000-0000-0000-0000-000000000000}"/>
  <bookViews>
    <workbookView xWindow="14520" yWindow="270" windowWidth="13425" windowHeight="14595" xr2:uid="{00000000-000D-0000-FFFF-FFFF00000000}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9" i="1"/>
  <c r="F59" i="1" s="1"/>
  <c r="G59" i="1" s="1"/>
  <c r="K59" i="1" s="1"/>
  <c r="Q59" i="1"/>
  <c r="E60" i="1"/>
  <c r="F60" i="1" s="1"/>
  <c r="G60" i="1" s="1"/>
  <c r="K60" i="1" s="1"/>
  <c r="Q60" i="1"/>
  <c r="E44" i="2"/>
  <c r="F44" i="2" s="1"/>
  <c r="G44" i="2" s="1"/>
  <c r="I44" i="2" s="1"/>
  <c r="Q44" i="2"/>
  <c r="E50" i="2"/>
  <c r="F50" i="2" s="1"/>
  <c r="G50" i="2" s="1"/>
  <c r="I50" i="2" s="1"/>
  <c r="Q50" i="2"/>
  <c r="E51" i="2"/>
  <c r="F51" i="2"/>
  <c r="G51" i="2"/>
  <c r="I51" i="2" s="1"/>
  <c r="Q51" i="2"/>
  <c r="E51" i="1"/>
  <c r="F51" i="1" s="1"/>
  <c r="G51" i="1" s="1"/>
  <c r="K51" i="1" s="1"/>
  <c r="Q51" i="1"/>
  <c r="E57" i="1"/>
  <c r="F57" i="1" s="1"/>
  <c r="G57" i="1" s="1"/>
  <c r="K57" i="1" s="1"/>
  <c r="Q57" i="1"/>
  <c r="E58" i="1"/>
  <c r="F58" i="1"/>
  <c r="G58" i="1" s="1"/>
  <c r="K58" i="1" s="1"/>
  <c r="Q58" i="1"/>
  <c r="E43" i="2"/>
  <c r="F43" i="2" s="1"/>
  <c r="G43" i="2" s="1"/>
  <c r="I43" i="2" s="1"/>
  <c r="Q43" i="2"/>
  <c r="E45" i="2"/>
  <c r="F45" i="2"/>
  <c r="G45" i="2" s="1"/>
  <c r="I45" i="2" s="1"/>
  <c r="Q45" i="2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/>
  <c r="G48" i="2"/>
  <c r="I48" i="2" s="1"/>
  <c r="Q48" i="2"/>
  <c r="E49" i="2"/>
  <c r="F49" i="2"/>
  <c r="G49" i="2" s="1"/>
  <c r="I49" i="2" s="1"/>
  <c r="Q49" i="2"/>
  <c r="E45" i="1"/>
  <c r="E28" i="3" s="1"/>
  <c r="C7" i="1"/>
  <c r="E30" i="1"/>
  <c r="F30" i="1"/>
  <c r="C8" i="1"/>
  <c r="E54" i="1"/>
  <c r="F54" i="1"/>
  <c r="G54" i="1" s="1"/>
  <c r="K54" i="1" s="1"/>
  <c r="E56" i="1"/>
  <c r="F56" i="1" s="1"/>
  <c r="G56" i="1" s="1"/>
  <c r="K56" i="1" s="1"/>
  <c r="D9" i="1"/>
  <c r="C9" i="1"/>
  <c r="E25" i="1"/>
  <c r="F25" i="1" s="1"/>
  <c r="G25" i="1" s="1"/>
  <c r="K25" i="1" s="1"/>
  <c r="E26" i="1"/>
  <c r="F26" i="1" s="1"/>
  <c r="G26" i="1" s="1"/>
  <c r="K26" i="1" s="1"/>
  <c r="E32" i="1"/>
  <c r="F32" i="1" s="1"/>
  <c r="G32" i="1" s="1"/>
  <c r="K32" i="1" s="1"/>
  <c r="E24" i="1"/>
  <c r="F24" i="1" s="1"/>
  <c r="G24" i="1" s="1"/>
  <c r="K24" i="1" s="1"/>
  <c r="E28" i="1"/>
  <c r="F28" i="1" s="1"/>
  <c r="G28" i="1" s="1"/>
  <c r="K28" i="1" s="1"/>
  <c r="E22" i="1"/>
  <c r="F22" i="1" s="1"/>
  <c r="G22" i="1" s="1"/>
  <c r="K22" i="1" s="1"/>
  <c r="E23" i="1"/>
  <c r="F23" i="1"/>
  <c r="G23" i="1" s="1"/>
  <c r="K23" i="1" s="1"/>
  <c r="E31" i="1"/>
  <c r="F31" i="1" s="1"/>
  <c r="G31" i="1" s="1"/>
  <c r="J31" i="1" s="1"/>
  <c r="E33" i="1"/>
  <c r="F33" i="1"/>
  <c r="G33" i="1" s="1"/>
  <c r="K33" i="1" s="1"/>
  <c r="E37" i="1"/>
  <c r="F37" i="1" s="1"/>
  <c r="G37" i="1" s="1"/>
  <c r="J37" i="1" s="1"/>
  <c r="E39" i="1"/>
  <c r="F39" i="1"/>
  <c r="G39" i="1"/>
  <c r="J39" i="1" s="1"/>
  <c r="E40" i="1"/>
  <c r="F40" i="1" s="1"/>
  <c r="G40" i="1" s="1"/>
  <c r="J40" i="1" s="1"/>
  <c r="E44" i="1"/>
  <c r="F44" i="1" s="1"/>
  <c r="G44" i="1" s="1"/>
  <c r="K44" i="1" s="1"/>
  <c r="E41" i="1"/>
  <c r="F41" i="1" s="1"/>
  <c r="G41" i="1" s="1"/>
  <c r="K41" i="1" s="1"/>
  <c r="E42" i="1"/>
  <c r="F42" i="1" s="1"/>
  <c r="G42" i="1" s="1"/>
  <c r="J42" i="1" s="1"/>
  <c r="E43" i="1"/>
  <c r="F43" i="1" s="1"/>
  <c r="G43" i="1" s="1"/>
  <c r="J43" i="1" s="1"/>
  <c r="E35" i="1"/>
  <c r="F35" i="1" s="1"/>
  <c r="G35" i="1" s="1"/>
  <c r="J35" i="1" s="1"/>
  <c r="E36" i="1"/>
  <c r="F36" i="1" s="1"/>
  <c r="G36" i="1" s="1"/>
  <c r="J36" i="1" s="1"/>
  <c r="E38" i="1"/>
  <c r="F38" i="1" s="1"/>
  <c r="G38" i="1" s="1"/>
  <c r="J38" i="1" s="1"/>
  <c r="E46" i="1"/>
  <c r="F46" i="1" s="1"/>
  <c r="G46" i="1" s="1"/>
  <c r="J46" i="1" s="1"/>
  <c r="E48" i="1"/>
  <c r="F48" i="1"/>
  <c r="G48" i="1"/>
  <c r="J48" i="1" s="1"/>
  <c r="E50" i="1"/>
  <c r="F50" i="1" s="1"/>
  <c r="G50" i="1" s="1"/>
  <c r="J50" i="1" s="1"/>
  <c r="E52" i="1"/>
  <c r="F52" i="1" s="1"/>
  <c r="G52" i="1" s="1"/>
  <c r="J52" i="1" s="1"/>
  <c r="E34" i="1"/>
  <c r="F34" i="1" s="1"/>
  <c r="G34" i="1" s="1"/>
  <c r="K34" i="1" s="1"/>
  <c r="E47" i="1"/>
  <c r="E30" i="3" s="1"/>
  <c r="E21" i="1"/>
  <c r="F21" i="1" s="1"/>
  <c r="Q53" i="1"/>
  <c r="Q54" i="1"/>
  <c r="Q55" i="1"/>
  <c r="Q56" i="1"/>
  <c r="Q32" i="1"/>
  <c r="Q26" i="1"/>
  <c r="Q25" i="1"/>
  <c r="G33" i="3"/>
  <c r="C33" i="3"/>
  <c r="G32" i="3"/>
  <c r="C32" i="3"/>
  <c r="G31" i="3"/>
  <c r="C31" i="3"/>
  <c r="E31" i="3"/>
  <c r="G30" i="3"/>
  <c r="C30" i="3"/>
  <c r="G29" i="3"/>
  <c r="C29" i="3"/>
  <c r="G28" i="3"/>
  <c r="C28" i="3"/>
  <c r="G27" i="3"/>
  <c r="C27" i="3"/>
  <c r="G26" i="3"/>
  <c r="C26" i="3"/>
  <c r="E26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G20" i="3"/>
  <c r="C20" i="3"/>
  <c r="E20" i="3"/>
  <c r="G19" i="3"/>
  <c r="C19" i="3"/>
  <c r="E19" i="3"/>
  <c r="G18" i="3"/>
  <c r="C18" i="3"/>
  <c r="E18" i="3"/>
  <c r="G38" i="3"/>
  <c r="C38" i="3"/>
  <c r="E38" i="3"/>
  <c r="G17" i="3"/>
  <c r="C17" i="3"/>
  <c r="E17" i="3"/>
  <c r="G37" i="3"/>
  <c r="C37" i="3"/>
  <c r="E37" i="3"/>
  <c r="G16" i="3"/>
  <c r="C16" i="3"/>
  <c r="G36" i="3"/>
  <c r="C36" i="3"/>
  <c r="E36" i="3"/>
  <c r="G15" i="3"/>
  <c r="C15" i="3"/>
  <c r="G14" i="3"/>
  <c r="C14" i="3"/>
  <c r="G35" i="3"/>
  <c r="C35" i="3"/>
  <c r="E35" i="3"/>
  <c r="G34" i="3"/>
  <c r="C34" i="3"/>
  <c r="E34" i="3"/>
  <c r="G13" i="3"/>
  <c r="C13" i="3"/>
  <c r="G12" i="3"/>
  <c r="C12" i="3"/>
  <c r="E12" i="3"/>
  <c r="G11" i="3"/>
  <c r="C11" i="3"/>
  <c r="E11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38" i="3"/>
  <c r="B38" i="3"/>
  <c r="D38" i="3"/>
  <c r="A38" i="3"/>
  <c r="H17" i="3"/>
  <c r="D17" i="3"/>
  <c r="B17" i="3"/>
  <c r="A17" i="3"/>
  <c r="H37" i="3"/>
  <c r="B37" i="3"/>
  <c r="D37" i="3"/>
  <c r="A37" i="3"/>
  <c r="H16" i="3"/>
  <c r="D16" i="3"/>
  <c r="B16" i="3"/>
  <c r="A16" i="3"/>
  <c r="H36" i="3"/>
  <c r="B36" i="3"/>
  <c r="D36" i="3"/>
  <c r="A36" i="3"/>
  <c r="H15" i="3"/>
  <c r="D15" i="3"/>
  <c r="B15" i="3"/>
  <c r="A15" i="3"/>
  <c r="H14" i="3"/>
  <c r="B14" i="3"/>
  <c r="D14" i="3"/>
  <c r="A14" i="3"/>
  <c r="H35" i="3"/>
  <c r="D35" i="3"/>
  <c r="B35" i="3"/>
  <c r="A35" i="3"/>
  <c r="H34" i="3"/>
  <c r="B34" i="3"/>
  <c r="D34" i="3"/>
  <c r="A34" i="3"/>
  <c r="H13" i="3"/>
  <c r="D13" i="3"/>
  <c r="B13" i="3"/>
  <c r="A13" i="3"/>
  <c r="H12" i="3"/>
  <c r="B12" i="3"/>
  <c r="D12" i="3"/>
  <c r="A12" i="3"/>
  <c r="H11" i="3"/>
  <c r="D11" i="3"/>
  <c r="B11" i="3"/>
  <c r="A11" i="3"/>
  <c r="Q37" i="1"/>
  <c r="Q39" i="1"/>
  <c r="Q40" i="1"/>
  <c r="Q50" i="1"/>
  <c r="Q52" i="1"/>
  <c r="C7" i="2"/>
  <c r="E26" i="2"/>
  <c r="F26" i="2"/>
  <c r="G26" i="2" s="1"/>
  <c r="I26" i="2" s="1"/>
  <c r="F11" i="2"/>
  <c r="G11" i="2"/>
  <c r="C21" i="2"/>
  <c r="E22" i="2"/>
  <c r="F22" i="2"/>
  <c r="G22" i="2" s="1"/>
  <c r="I22" i="2" s="1"/>
  <c r="E23" i="2"/>
  <c r="F23" i="2"/>
  <c r="G23" i="2" s="1"/>
  <c r="I23" i="2" s="1"/>
  <c r="E27" i="2"/>
  <c r="F27" i="2" s="1"/>
  <c r="G27" i="2" s="1"/>
  <c r="I27" i="2" s="1"/>
  <c r="E28" i="2"/>
  <c r="F28" i="2" s="1"/>
  <c r="G28" i="2" s="1"/>
  <c r="J28" i="2" s="1"/>
  <c r="E30" i="2"/>
  <c r="F30" i="2"/>
  <c r="G30" i="2" s="1"/>
  <c r="I30" i="2" s="1"/>
  <c r="E31" i="2"/>
  <c r="F31" i="2"/>
  <c r="E33" i="2"/>
  <c r="F33" i="2" s="1"/>
  <c r="G33" i="2" s="1"/>
  <c r="I33" i="2" s="1"/>
  <c r="E35" i="2"/>
  <c r="F35" i="2" s="1"/>
  <c r="G35" i="2" s="1"/>
  <c r="I35" i="2" s="1"/>
  <c r="E36" i="2"/>
  <c r="F36" i="2" s="1"/>
  <c r="G36" i="2" s="1"/>
  <c r="I36" i="2" s="1"/>
  <c r="E38" i="2"/>
  <c r="F38" i="2"/>
  <c r="G38" i="2" s="1"/>
  <c r="I38" i="2" s="1"/>
  <c r="E39" i="2"/>
  <c r="F39" i="2"/>
  <c r="G39" i="2" s="1"/>
  <c r="J39" i="2" s="1"/>
  <c r="E41" i="2"/>
  <c r="F41" i="2" s="1"/>
  <c r="G41" i="2" s="1"/>
  <c r="J41" i="2" s="1"/>
  <c r="E14" i="2"/>
  <c r="E15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8" i="1"/>
  <c r="Q46" i="1"/>
  <c r="Q38" i="1"/>
  <c r="Q36" i="1"/>
  <c r="Q35" i="1"/>
  <c r="Q47" i="1"/>
  <c r="Q45" i="1"/>
  <c r="Q43" i="1"/>
  <c r="Q42" i="1"/>
  <c r="Q41" i="1"/>
  <c r="Q44" i="1"/>
  <c r="Q34" i="1"/>
  <c r="F16" i="1"/>
  <c r="F17" i="1" s="1"/>
  <c r="C17" i="1"/>
  <c r="Q33" i="1"/>
  <c r="Q30" i="1"/>
  <c r="Q28" i="1"/>
  <c r="Q22" i="1"/>
  <c r="Q23" i="1"/>
  <c r="Q31" i="1"/>
  <c r="Q29" i="1"/>
  <c r="Q24" i="1"/>
  <c r="Q27" i="1"/>
  <c r="Q21" i="1"/>
  <c r="E25" i="2"/>
  <c r="F25" i="2" s="1"/>
  <c r="G25" i="2" s="1"/>
  <c r="I25" i="2" s="1"/>
  <c r="E27" i="1"/>
  <c r="F27" i="1" s="1"/>
  <c r="G27" i="1" s="1"/>
  <c r="K27" i="1" s="1"/>
  <c r="E29" i="1"/>
  <c r="E15" i="3" s="1"/>
  <c r="G42" i="2"/>
  <c r="I42" i="2" s="1"/>
  <c r="E40" i="2"/>
  <c r="F40" i="2"/>
  <c r="G40" i="2" s="1"/>
  <c r="I40" i="2" s="1"/>
  <c r="E32" i="2"/>
  <c r="F32" i="2"/>
  <c r="G32" i="2" s="1"/>
  <c r="I32" i="2" s="1"/>
  <c r="E24" i="2"/>
  <c r="F24" i="2"/>
  <c r="G24" i="2"/>
  <c r="I24" i="2"/>
  <c r="E21" i="2"/>
  <c r="F21" i="2" s="1"/>
  <c r="E53" i="1"/>
  <c r="F53" i="1"/>
  <c r="G53" i="1" s="1"/>
  <c r="K53" i="1" s="1"/>
  <c r="G30" i="1"/>
  <c r="K30" i="1" s="1"/>
  <c r="E37" i="2"/>
  <c r="F37" i="2" s="1"/>
  <c r="G37" i="2" s="1"/>
  <c r="I37" i="2" s="1"/>
  <c r="G31" i="2"/>
  <c r="J31" i="2" s="1"/>
  <c r="E29" i="2"/>
  <c r="F29" i="2"/>
  <c r="G29" i="2"/>
  <c r="I29" i="2" s="1"/>
  <c r="E55" i="1"/>
  <c r="F55" i="1" s="1"/>
  <c r="G55" i="1" s="1"/>
  <c r="K55" i="1" s="1"/>
  <c r="E42" i="2"/>
  <c r="F42" i="2"/>
  <c r="E34" i="2"/>
  <c r="F34" i="2" s="1"/>
  <c r="G34" i="2" s="1"/>
  <c r="I34" i="2" s="1"/>
  <c r="C11" i="2"/>
  <c r="C12" i="2"/>
  <c r="E23" i="3" l="1"/>
  <c r="F47" i="1"/>
  <c r="G47" i="1" s="1"/>
  <c r="E21" i="3"/>
  <c r="E33" i="3"/>
  <c r="E27" i="3"/>
  <c r="F29" i="1"/>
  <c r="G29" i="1" s="1"/>
  <c r="E13" i="3"/>
  <c r="E16" i="3"/>
  <c r="F45" i="1"/>
  <c r="G45" i="1" s="1"/>
  <c r="K45" i="1" s="1"/>
  <c r="O51" i="2"/>
  <c r="O50" i="2"/>
  <c r="O44" i="2"/>
  <c r="E29" i="3"/>
  <c r="E32" i="3"/>
  <c r="E14" i="3"/>
  <c r="C16" i="2"/>
  <c r="D18" i="2" s="1"/>
  <c r="O49" i="2"/>
  <c r="O23" i="2"/>
  <c r="O28" i="2"/>
  <c r="C15" i="2"/>
  <c r="O43" i="2"/>
  <c r="O24" i="2"/>
  <c r="O36" i="2"/>
  <c r="O21" i="2"/>
  <c r="O38" i="2"/>
  <c r="O40" i="2"/>
  <c r="O48" i="2"/>
  <c r="O22" i="2"/>
  <c r="O32" i="2"/>
  <c r="O29" i="2"/>
  <c r="O39" i="2"/>
  <c r="O47" i="2"/>
  <c r="O30" i="2"/>
  <c r="O31" i="2"/>
  <c r="O37" i="2"/>
  <c r="O25" i="2"/>
  <c r="O26" i="2"/>
  <c r="O46" i="2"/>
  <c r="O27" i="2"/>
  <c r="O33" i="2"/>
  <c r="O34" i="2"/>
  <c r="O45" i="2"/>
  <c r="O35" i="2"/>
  <c r="O41" i="2"/>
  <c r="O42" i="2"/>
  <c r="C12" i="1"/>
  <c r="C11" i="1"/>
  <c r="O60" i="1" l="1"/>
  <c r="O40" i="1"/>
  <c r="O43" i="1"/>
  <c r="O53" i="1"/>
  <c r="O39" i="1"/>
  <c r="C15" i="1"/>
  <c r="O51" i="1"/>
  <c r="O32" i="1"/>
  <c r="O59" i="1"/>
  <c r="O58" i="1"/>
  <c r="O27" i="1"/>
  <c r="O41" i="1"/>
  <c r="O25" i="1"/>
  <c r="O24" i="1"/>
  <c r="O29" i="1"/>
  <c r="O55" i="1"/>
  <c r="O50" i="1"/>
  <c r="O56" i="1"/>
  <c r="O49" i="1"/>
  <c r="O57" i="1"/>
  <c r="O45" i="1"/>
  <c r="O23" i="1"/>
  <c r="O46" i="1"/>
  <c r="O37" i="1"/>
  <c r="O48" i="1"/>
  <c r="O36" i="1"/>
  <c r="O26" i="1"/>
  <c r="O35" i="1"/>
  <c r="O34" i="1"/>
  <c r="O38" i="1"/>
  <c r="O30" i="1"/>
  <c r="O22" i="1"/>
  <c r="O21" i="1"/>
  <c r="O54" i="1"/>
  <c r="O47" i="1"/>
  <c r="O28" i="1"/>
  <c r="O44" i="1"/>
  <c r="O33" i="1"/>
  <c r="O42" i="1"/>
  <c r="O52" i="1"/>
  <c r="O31" i="1"/>
  <c r="C16" i="1"/>
  <c r="D18" i="1" s="1"/>
  <c r="J29" i="1"/>
  <c r="C18" i="2"/>
  <c r="E16" i="2"/>
  <c r="E17" i="2" s="1"/>
  <c r="F18" i="1" l="1"/>
  <c r="F19" i="1" s="1"/>
  <c r="C18" i="1"/>
</calcChain>
</file>

<file path=xl/sharedStrings.xml><?xml version="1.0" encoding="utf-8"?>
<sst xmlns="http://schemas.openxmlformats.org/spreadsheetml/2006/main" count="474" uniqueCount="212">
  <si>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</si>
  <si>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</si>
  <si>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</si>
  <si>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</si>
  <si>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</si>
  <si>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</si>
  <si>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</si>
  <si>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</si>
  <si>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</si>
  <si>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</si>
  <si>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</si>
  <si>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</si>
  <si>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</si>
  <si>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</si>
  <si>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</si>
  <si>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</si>
  <si>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</si>
  <si>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</si>
  <si>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</si>
  <si>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</si>
  <si>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</si>
  <si>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</si>
  <si>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</si>
  <si>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</si>
  <si>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</si>
  <si>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</si>
  <si>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</si>
  <si>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</si>
  <si>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</si>
  <si>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</si>
  <si>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</si>
  <si>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EA/KE</t>
  </si>
  <si>
    <t>IBVS 5287</t>
  </si>
  <si>
    <t>I</t>
  </si>
  <si>
    <t>IBVS 5583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</si>
  <si>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</si>
  <si>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</si>
  <si>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</si>
  <si>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</si>
  <si>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</si>
  <si>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</si>
  <si>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</si>
  <si>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</si>
  <si>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</si>
  <si>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II</t>
  </si>
  <si>
    <t>IBVS 5802</t>
  </si>
  <si>
    <t>Start of linear fit &gt;&gt;&gt;&gt;&gt;&gt;&gt;&gt;&gt;&gt;&gt;&gt;&gt;&gt;&gt;&gt;&gt;&gt;&gt;&gt;&gt;</t>
  </si>
  <si>
    <t>OEJV 0107</t>
  </si>
  <si>
    <t>OEJV</t>
  </si>
  <si>
    <t>IBVS 5945</t>
  </si>
  <si>
    <t>Add cycle</t>
  </si>
  <si>
    <t>Old Cycle</t>
  </si>
  <si>
    <t>OEJV 0137</t>
  </si>
  <si>
    <t>IBVS 5992</t>
  </si>
  <si>
    <t>IBVS 6007</t>
  </si>
  <si>
    <t>IBVS 6010</t>
  </si>
  <si>
    <t>OEJV 0160</t>
  </si>
  <si>
    <t>IBVS 6118</t>
  </si>
  <si>
    <t>V412 Lyr / GSC 02134-01116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</si>
  <si>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</si>
  <si>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</si>
  <si>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</si>
  <si>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</si>
  <si>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</si>
  <si>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</si>
  <si>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</si>
  <si>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</si>
  <si>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</si>
  <si>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</si>
  <si>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</si>
  <si>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</si>
  <si>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</si>
  <si>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</si>
  <si>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2450666.7391 </t>
  </si>
  <si>
    <t> 06.08.1997 05:44 </t>
  </si>
  <si>
    <t> 0.1105 </t>
  </si>
  <si>
    <t>E </t>
  </si>
  <si>
    <t>?</t>
  </si>
  <si>
    <t> Smith &amp; Caton </t>
  </si>
  <si>
    <t>IBVS 5745 </t>
  </si>
  <si>
    <t>2450672.7933 </t>
  </si>
  <si>
    <t> 12.08.1997 07:02 </t>
  </si>
  <si>
    <t> 0.1101 </t>
  </si>
  <si>
    <t>2451675.5352 </t>
  </si>
  <si>
    <t> 11.05.2000 00:50 </t>
  </si>
  <si>
    <t> 0.1257 </t>
  </si>
  <si>
    <t>R</t>
  </si>
  <si>
    <t> M.Zejda </t>
  </si>
  <si>
    <t>IBVS 5287 </t>
  </si>
  <si>
    <t>2451757.505 </t>
  </si>
  <si>
    <t> 01.08.2000 00:07 </t>
  </si>
  <si>
    <t> 0.126 </t>
  </si>
  <si>
    <t> R.Diethelm </t>
  </si>
  <si>
    <t> BBS 123 </t>
  </si>
  <si>
    <t>2452084.4624 </t>
  </si>
  <si>
    <t> 23.06.2001 23:05 </t>
  </si>
  <si>
    <t> 0.1380 </t>
  </si>
  <si>
    <t> BBS 125 </t>
  </si>
  <si>
    <t>2452138.4893 </t>
  </si>
  <si>
    <t> 16.08.2001 23:44 </t>
  </si>
  <si>
    <t> 0.1397 </t>
  </si>
  <si>
    <t>IBVS 5583 </t>
  </si>
  <si>
    <t>2453566.4536 </t>
  </si>
  <si>
    <t> 14.07.2005 22:53 </t>
  </si>
  <si>
    <t> 0.1620 </t>
  </si>
  <si>
    <t> R. Diethelm </t>
  </si>
  <si>
    <t>IBVS 5713 </t>
  </si>
  <si>
    <t>2454217.5633 </t>
  </si>
  <si>
    <t> 27.04.2007 01:31 </t>
  </si>
  <si>
    <t> 0.1749 </t>
  </si>
  <si>
    <t>C </t>
  </si>
  <si>
    <t> M.Lehky </t>
  </si>
  <si>
    <t>OEJV 0107 </t>
  </si>
  <si>
    <t>2454245.5069 </t>
  </si>
  <si>
    <t> 25.05.2007 00:09 </t>
  </si>
  <si>
    <t> 0.1744 </t>
  </si>
  <si>
    <t>-I</t>
  </si>
  <si>
    <t> F.Agerer </t>
  </si>
  <si>
    <t>BAVM 186 </t>
  </si>
  <si>
    <t>2455074.5381 </t>
  </si>
  <si>
    <t> 31.08.2009 00:54 </t>
  </si>
  <si>
    <t>18051</t>
  </si>
  <si>
    <t> 0.1982 </t>
  </si>
  <si>
    <t> P.Frank </t>
  </si>
  <si>
    <t>BAVM 212 </t>
  </si>
  <si>
    <t>2455342.8078 </t>
  </si>
  <si>
    <t> 26.05.2010 07:23 </t>
  </si>
  <si>
    <t>18339</t>
  </si>
  <si>
    <t> 0.2048 </t>
  </si>
  <si>
    <t>IBVS 5945 </t>
  </si>
  <si>
    <t>2455375.4107 </t>
  </si>
  <si>
    <t> 27.06.2010 21:51 </t>
  </si>
  <si>
    <t>18374</t>
  </si>
  <si>
    <t> 0.2063 </t>
  </si>
  <si>
    <t>OEJV 0137 </t>
  </si>
  <si>
    <t>2455380.5306 </t>
  </si>
  <si>
    <t> 03.07.2010 00:44 </t>
  </si>
  <si>
    <t>18379.5</t>
  </si>
  <si>
    <t> 0.2031 </t>
  </si>
  <si>
    <t>BAVM 234 </t>
  </si>
  <si>
    <t>2455387.52 </t>
  </si>
  <si>
    <t> 10.07.2010 00:28 </t>
  </si>
  <si>
    <t>18387</t>
  </si>
  <si>
    <t> 0.21 </t>
  </si>
  <si>
    <t>2455387.5213 </t>
  </si>
  <si>
    <t> 10.07.2010 00:30 </t>
  </si>
  <si>
    <t> 0.2078 </t>
  </si>
  <si>
    <t>BAVM 215 </t>
  </si>
  <si>
    <t>2455409.4121 </t>
  </si>
  <si>
    <t> 31.07.2010 21:53 </t>
  </si>
  <si>
    <t>18410.5</t>
  </si>
  <si>
    <t> 0.2091 </t>
  </si>
  <si>
    <t>2455429.4385 </t>
  </si>
  <si>
    <t> 20.08.2010 22:31 </t>
  </si>
  <si>
    <t>18432</t>
  </si>
  <si>
    <t> 0.2089 </t>
  </si>
  <si>
    <t>o</t>
  </si>
  <si>
    <t>2455430.3696 </t>
  </si>
  <si>
    <t> 21.08.2010 20:52 </t>
  </si>
  <si>
    <t>18433</t>
  </si>
  <si>
    <t> 0.2085 </t>
  </si>
  <si>
    <t>2455616.66689 </t>
  </si>
  <si>
    <t> 24.02.2011 04:00 </t>
  </si>
  <si>
    <t>18633</t>
  </si>
  <si>
    <t> 0.21201 </t>
  </si>
  <si>
    <t> P.Zasche </t>
  </si>
  <si>
    <t>IBVS 6007 </t>
  </si>
  <si>
    <t>2455700.5013 </t>
  </si>
  <si>
    <t> 19.05.2011 00:01 </t>
  </si>
  <si>
    <t>18723</t>
  </si>
  <si>
    <t> 0.2142 </t>
  </si>
  <si>
    <t>BAVM 220 </t>
  </si>
  <si>
    <t>2455707.4870 </t>
  </si>
  <si>
    <t> 25.05.2011 23:41 </t>
  </si>
  <si>
    <t>18730.5</t>
  </si>
  <si>
    <t> 0.2139 </t>
  </si>
  <si>
    <t>2455710.7507 </t>
  </si>
  <si>
    <t> 29.05.2011 06:01 </t>
  </si>
  <si>
    <t>18734</t>
  </si>
  <si>
    <t> 0.2175 </t>
  </si>
  <si>
    <t>IBVS 5992 </t>
  </si>
  <si>
    <t>2456102.43713 </t>
  </si>
  <si>
    <t> 23.06.2012 22:29 </t>
  </si>
  <si>
    <t>19154.5</t>
  </si>
  <si>
    <t> 0.22117 </t>
  </si>
  <si>
    <t> L.Šmelcer </t>
  </si>
  <si>
    <t>OEJV 0160 </t>
  </si>
  <si>
    <t>2456136.4353 </t>
  </si>
  <si>
    <t> 27.07.2012 22:26 </t>
  </si>
  <si>
    <t>19191</t>
  </si>
  <si>
    <t> 0.2207 </t>
  </si>
  <si>
    <t>2456275.22632 </t>
  </si>
  <si>
    <t> 13.12.2012 17:25 </t>
  </si>
  <si>
    <t>19340</t>
  </si>
  <si>
    <t> 0.22286 </t>
  </si>
  <si>
    <t>2456579.3557 </t>
  </si>
  <si>
    <t> 13.10.2013 20:32 </t>
  </si>
  <si>
    <t>19666.5</t>
  </si>
  <si>
    <t> 0.2276 </t>
  </si>
  <si>
    <t>2456897.4653 </t>
  </si>
  <si>
    <t> 27.08.2014 23:10 </t>
  </si>
  <si>
    <t>20008</t>
  </si>
  <si>
    <t> 0.2405 </t>
  </si>
  <si>
    <t>BAVM 238 </t>
  </si>
  <si>
    <t>2456918.4255 </t>
  </si>
  <si>
    <t> 17.09.2014 22:12 </t>
  </si>
  <si>
    <t>20030.5</t>
  </si>
  <si>
    <t> 0.2427 </t>
  </si>
  <si>
    <t>BAVM 239 </t>
  </si>
  <si>
    <t>JBAV, 60</t>
  </si>
  <si>
    <t>V0412 Lyr / GSC 02134-01116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</si>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</sst>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165" fontId="36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0-40CD-915B-DF9BD47663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0-40CD-915B-DF9BD47663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8">
                  <c:v>0.20889200000237906</c:v>
                </c:pt>
                <c:pt idx="19">
                  <c:v>0.20852300000115065</c:v>
                </c:pt>
                <c:pt idx="21">
                  <c:v>0.21421300000656629</c:v>
                </c:pt>
                <c:pt idx="22">
                  <c:v>0.21389550000458257</c:v>
                </c:pt>
                <c:pt idx="25">
                  <c:v>0.22072100000514183</c:v>
                </c:pt>
                <c:pt idx="27">
                  <c:v>0.22761149999860208</c:v>
                </c:pt>
                <c:pt idx="29">
                  <c:v>0.24054800000885734</c:v>
                </c:pt>
                <c:pt idx="31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0-40CD-915B-DF9BD47663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20">
                  <c:v>0.2120130000039353</c:v>
                </c:pt>
                <c:pt idx="23">
                  <c:v>0.21745400000509107</c:v>
                </c:pt>
                <c:pt idx="24">
                  <c:v>0.22116950000054203</c:v>
                </c:pt>
                <c:pt idx="28">
                  <c:v>0.23421149999921909</c:v>
                </c:pt>
                <c:pt idx="30">
                  <c:v>0.24089549999916926</c:v>
                </c:pt>
                <c:pt idx="32">
                  <c:v>0.25884750000113854</c:v>
                </c:pt>
                <c:pt idx="33">
                  <c:v>0.26071250000677537</c:v>
                </c:pt>
                <c:pt idx="34">
                  <c:v>0.25264350000361446</c:v>
                </c:pt>
                <c:pt idx="35">
                  <c:v>0.25917350000236183</c:v>
                </c:pt>
                <c:pt idx="36">
                  <c:v>0.28040200000395998</c:v>
                </c:pt>
                <c:pt idx="37">
                  <c:v>0.28772549999848707</c:v>
                </c:pt>
                <c:pt idx="38">
                  <c:v>0.28948450000461889</c:v>
                </c:pt>
                <c:pt idx="39">
                  <c:v>0.29016099999716971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0-40CD-915B-DF9BD47663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0-40CD-915B-DF9BD47663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0-40CD-915B-DF9BD47663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0-40CD-915B-DF9BD47663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-0.14635316978565285</c:v>
                </c:pt>
                <c:pt idx="1">
                  <c:v>0.10848123533367984</c:v>
                </c:pt>
                <c:pt idx="2">
                  <c:v>0.10860560079905077</c:v>
                </c:pt>
                <c:pt idx="3">
                  <c:v>0.12920243517933169</c:v>
                </c:pt>
                <c:pt idx="4">
                  <c:v>0.13088615224896918</c:v>
                </c:pt>
                <c:pt idx="5">
                  <c:v>0.13760188737900039</c:v>
                </c:pt>
                <c:pt idx="6">
                  <c:v>0.1387116099930796</c:v>
                </c:pt>
                <c:pt idx="7">
                  <c:v>0.1387116099930796</c:v>
                </c:pt>
                <c:pt idx="8">
                  <c:v>0.16804272667210482</c:v>
                </c:pt>
                <c:pt idx="9">
                  <c:v>0.18141679748661146</c:v>
                </c:pt>
                <c:pt idx="10">
                  <c:v>0.18199079194216969</c:v>
                </c:pt>
                <c:pt idx="11">
                  <c:v>0.19901929412373029</c:v>
                </c:pt>
                <c:pt idx="12">
                  <c:v>0.20452964089708928</c:v>
                </c:pt>
                <c:pt idx="13">
                  <c:v>0.20519930109524051</c:v>
                </c:pt>
                <c:pt idx="14">
                  <c:v>0.20530453341209284</c:v>
                </c:pt>
                <c:pt idx="15">
                  <c:v>0.20544803202598241</c:v>
                </c:pt>
                <c:pt idx="16">
                  <c:v>0.20544803202598241</c:v>
                </c:pt>
                <c:pt idx="17">
                  <c:v>0.20589766101616971</c:v>
                </c:pt>
                <c:pt idx="18">
                  <c:v>0.20630902370931978</c:v>
                </c:pt>
                <c:pt idx="19">
                  <c:v>0.20632815685783837</c:v>
                </c:pt>
                <c:pt idx="20">
                  <c:v>0.21015478656155986</c:v>
                </c:pt>
                <c:pt idx="21">
                  <c:v>0.21187676992823454</c:v>
                </c:pt>
                <c:pt idx="22">
                  <c:v>0.21202026854212405</c:v>
                </c:pt>
                <c:pt idx="23">
                  <c:v>0.2120872345619392</c:v>
                </c:pt>
                <c:pt idx="24">
                  <c:v>0.22013272351401361</c:v>
                </c:pt>
                <c:pt idx="25">
                  <c:v>0.22083108343494282</c:v>
                </c:pt>
                <c:pt idx="26">
                  <c:v>0.22368192256421535</c:v>
                </c:pt>
                <c:pt idx="27">
                  <c:v>0.22992889555554066</c:v>
                </c:pt>
                <c:pt idx="28">
                  <c:v>0.22992889555554066</c:v>
                </c:pt>
                <c:pt idx="29">
                  <c:v>0.23646286577464512</c:v>
                </c:pt>
                <c:pt idx="30">
                  <c:v>0.23689336161631377</c:v>
                </c:pt>
                <c:pt idx="31">
                  <c:v>0.23689336161631377</c:v>
                </c:pt>
                <c:pt idx="32">
                  <c:v>0.25778675979863308</c:v>
                </c:pt>
                <c:pt idx="33">
                  <c:v>0.25807375702641222</c:v>
                </c:pt>
                <c:pt idx="34">
                  <c:v>0.25809289017493087</c:v>
                </c:pt>
                <c:pt idx="35">
                  <c:v>0.25866688463048904</c:v>
                </c:pt>
                <c:pt idx="36">
                  <c:v>0.28111963441707488</c:v>
                </c:pt>
                <c:pt idx="37">
                  <c:v>0.28912685707211216</c:v>
                </c:pt>
                <c:pt idx="38">
                  <c:v>0.29465633699398963</c:v>
                </c:pt>
                <c:pt idx="39">
                  <c:v>0.2962156885982562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0-40CD-915B-DF9BD476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0728"/>
        <c:axId val="1"/>
      </c:scatterChart>
      <c:valAx>
        <c:axId val="60629072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E-48C1-9989-0C2E1EE286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E-48C1-9989-0C2E1EE286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8">
                  <c:v>0.20889200000237906</c:v>
                </c:pt>
                <c:pt idx="19">
                  <c:v>0.20852300000115065</c:v>
                </c:pt>
                <c:pt idx="21">
                  <c:v>0.21421300000656629</c:v>
                </c:pt>
                <c:pt idx="22">
                  <c:v>0.21389550000458257</c:v>
                </c:pt>
                <c:pt idx="25">
                  <c:v>0.22072100000514183</c:v>
                </c:pt>
                <c:pt idx="27">
                  <c:v>0.22761149999860208</c:v>
                </c:pt>
                <c:pt idx="29">
                  <c:v>0.24054800000885734</c:v>
                </c:pt>
                <c:pt idx="31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6E-48C1-9989-0C2E1EE286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20">
                  <c:v>0.2120130000039353</c:v>
                </c:pt>
                <c:pt idx="23">
                  <c:v>0.21745400000509107</c:v>
                </c:pt>
                <c:pt idx="24">
                  <c:v>0.22116950000054203</c:v>
                </c:pt>
                <c:pt idx="28">
                  <c:v>0.23421149999921909</c:v>
                </c:pt>
                <c:pt idx="30">
                  <c:v>0.24089549999916926</c:v>
                </c:pt>
                <c:pt idx="32">
                  <c:v>0.25884750000113854</c:v>
                </c:pt>
                <c:pt idx="33">
                  <c:v>0.26071250000677537</c:v>
                </c:pt>
                <c:pt idx="34">
                  <c:v>0.25264350000361446</c:v>
                </c:pt>
                <c:pt idx="35">
                  <c:v>0.25917350000236183</c:v>
                </c:pt>
                <c:pt idx="36">
                  <c:v>0.28040200000395998</c:v>
                </c:pt>
                <c:pt idx="37">
                  <c:v>0.28772549999848707</c:v>
                </c:pt>
                <c:pt idx="38">
                  <c:v>0.28948450000461889</c:v>
                </c:pt>
                <c:pt idx="39">
                  <c:v>0.29016099999716971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6E-48C1-9989-0C2E1EE286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6E-48C1-9989-0C2E1EE286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6E-48C1-9989-0C2E1EE286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3.5000000000000001E-3</c:v>
                  </c:pt>
                  <c:pt idx="29">
                    <c:v>2.0999999999999999E-3</c:v>
                  </c:pt>
                  <c:pt idx="30">
                    <c:v>3.5000000000000001E-3</c:v>
                  </c:pt>
                  <c:pt idx="31">
                    <c:v>6.9999999999999999E-4</c:v>
                  </c:pt>
                  <c:pt idx="32">
                    <c:v>8.0000000000000004E-4</c:v>
                  </c:pt>
                  <c:pt idx="33">
                    <c:v>8.0000000000000004E-4</c:v>
                  </c:pt>
                  <c:pt idx="34">
                    <c:v>8.9999999999999998E-4</c:v>
                  </c:pt>
                  <c:pt idx="35">
                    <c:v>8.0000000000000004E-4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6E-48C1-9989-0C2E1EE286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19666.5</c:v>
                </c:pt>
                <c:pt idx="29">
                  <c:v>20008</c:v>
                </c:pt>
                <c:pt idx="30">
                  <c:v>20030.5</c:v>
                </c:pt>
                <c:pt idx="31">
                  <c:v>20030.5</c:v>
                </c:pt>
                <c:pt idx="32">
                  <c:v>21122.5</c:v>
                </c:pt>
                <c:pt idx="33">
                  <c:v>21137.5</c:v>
                </c:pt>
                <c:pt idx="34">
                  <c:v>21138.5</c:v>
                </c:pt>
                <c:pt idx="35">
                  <c:v>21168.5</c:v>
                </c:pt>
                <c:pt idx="36">
                  <c:v>22342</c:v>
                </c:pt>
                <c:pt idx="37">
                  <c:v>22760.5</c:v>
                </c:pt>
                <c:pt idx="38">
                  <c:v>23049.5</c:v>
                </c:pt>
                <c:pt idx="39">
                  <c:v>23131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-0.14635316978565285</c:v>
                </c:pt>
                <c:pt idx="1">
                  <c:v>0.10848123533367984</c:v>
                </c:pt>
                <c:pt idx="2">
                  <c:v>0.10860560079905077</c:v>
                </c:pt>
                <c:pt idx="3">
                  <c:v>0.12920243517933169</c:v>
                </c:pt>
                <c:pt idx="4">
                  <c:v>0.13088615224896918</c:v>
                </c:pt>
                <c:pt idx="5">
                  <c:v>0.13760188737900039</c:v>
                </c:pt>
                <c:pt idx="6">
                  <c:v>0.1387116099930796</c:v>
                </c:pt>
                <c:pt idx="7">
                  <c:v>0.1387116099930796</c:v>
                </c:pt>
                <c:pt idx="8">
                  <c:v>0.16804272667210482</c:v>
                </c:pt>
                <c:pt idx="9">
                  <c:v>0.18141679748661146</c:v>
                </c:pt>
                <c:pt idx="10">
                  <c:v>0.18199079194216969</c:v>
                </c:pt>
                <c:pt idx="11">
                  <c:v>0.19901929412373029</c:v>
                </c:pt>
                <c:pt idx="12">
                  <c:v>0.20452964089708928</c:v>
                </c:pt>
                <c:pt idx="13">
                  <c:v>0.20519930109524051</c:v>
                </c:pt>
                <c:pt idx="14">
                  <c:v>0.20530453341209284</c:v>
                </c:pt>
                <c:pt idx="15">
                  <c:v>0.20544803202598241</c:v>
                </c:pt>
                <c:pt idx="16">
                  <c:v>0.20544803202598241</c:v>
                </c:pt>
                <c:pt idx="17">
                  <c:v>0.20589766101616971</c:v>
                </c:pt>
                <c:pt idx="18">
                  <c:v>0.20630902370931978</c:v>
                </c:pt>
                <c:pt idx="19">
                  <c:v>0.20632815685783837</c:v>
                </c:pt>
                <c:pt idx="20">
                  <c:v>0.21015478656155986</c:v>
                </c:pt>
                <c:pt idx="21">
                  <c:v>0.21187676992823454</c:v>
                </c:pt>
                <c:pt idx="22">
                  <c:v>0.21202026854212405</c:v>
                </c:pt>
                <c:pt idx="23">
                  <c:v>0.2120872345619392</c:v>
                </c:pt>
                <c:pt idx="24">
                  <c:v>0.22013272351401361</c:v>
                </c:pt>
                <c:pt idx="25">
                  <c:v>0.22083108343494282</c:v>
                </c:pt>
                <c:pt idx="26">
                  <c:v>0.22368192256421535</c:v>
                </c:pt>
                <c:pt idx="27">
                  <c:v>0.22992889555554066</c:v>
                </c:pt>
                <c:pt idx="28">
                  <c:v>0.22992889555554066</c:v>
                </c:pt>
                <c:pt idx="29">
                  <c:v>0.23646286577464512</c:v>
                </c:pt>
                <c:pt idx="30">
                  <c:v>0.23689336161631377</c:v>
                </c:pt>
                <c:pt idx="31">
                  <c:v>0.23689336161631377</c:v>
                </c:pt>
                <c:pt idx="32">
                  <c:v>0.25778675979863308</c:v>
                </c:pt>
                <c:pt idx="33">
                  <c:v>0.25807375702641222</c:v>
                </c:pt>
                <c:pt idx="34">
                  <c:v>0.25809289017493087</c:v>
                </c:pt>
                <c:pt idx="35">
                  <c:v>0.25866688463048904</c:v>
                </c:pt>
                <c:pt idx="36">
                  <c:v>0.28111963441707488</c:v>
                </c:pt>
                <c:pt idx="37">
                  <c:v>0.28912685707211216</c:v>
                </c:pt>
                <c:pt idx="38">
                  <c:v>0.29465633699398963</c:v>
                </c:pt>
                <c:pt idx="39">
                  <c:v>0.2962156885982562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6E-48C1-9989-0C2E1EE2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760"/>
        <c:axId val="1"/>
      </c:scatterChart>
      <c:valAx>
        <c:axId val="606288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5-4911-851D-E18B719E6F6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5-4911-851D-E18B719E6F6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75-4911-851D-E18B719E6F6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75-4911-851D-E18B719E6F6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75-4911-851D-E18B719E6F6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75-4911-851D-E18B719E6F6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75-4911-851D-E18B719E6F6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75-4911-851D-E18B719E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5480"/>
        <c:axId val="1"/>
      </c:scatterChart>
      <c:valAx>
        <c:axId val="60628548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16F-BDD8-A1948217A21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16F-BDD8-A1948217A21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16F-BDD8-A1948217A21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16F-BDD8-A1948217A21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16F-BDD8-A1948217A21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16F-BDD8-A1948217A21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16F-BDD8-A1948217A21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16F-BDD8-A1948217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6960"/>
        <c:axId val="1"/>
      </c:scatterChart>
      <c:valAx>
        <c:axId val="60629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5DC338-2C59-97D5-B553-5A554C991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25</xdr:col>
      <xdr:colOff>495300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734EFE8-FE69-E883-4B2E-5CDF75E9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807573A-4F48-1F19-4B20-5CE5453EE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BADC2AA-E38D-4216-9592-883E0975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bav-astro.de/sfs/BAVM_link.php?BAVMnr=234" TargetMode="External"/><Relationship Id="rId22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8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210</v>
      </c>
    </row>
    <row r="2" spans="1:6" x14ac:dyDescent="0.2">
      <c r="A2" t="s">
        <v>25</v>
      </c>
      <c r="B2" t="s">
        <v>31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38260.392999999996</v>
      </c>
      <c r="D4" s="4">
        <v>0.93146899999999999</v>
      </c>
    </row>
    <row r="5" spans="1:6" ht="13.5" thickTop="1" x14ac:dyDescent="0.2">
      <c r="A5" s="18" t="s">
        <v>37</v>
      </c>
      <c r="B5" s="19"/>
      <c r="C5" s="20">
        <v>-9.5</v>
      </c>
      <c r="D5" s="19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38260.392999999996</v>
      </c>
    </row>
    <row r="8" spans="1:6" x14ac:dyDescent="0.2">
      <c r="A8" t="s">
        <v>4</v>
      </c>
      <c r="C8">
        <f>+D4</f>
        <v>0.93146899999999999</v>
      </c>
    </row>
    <row r="9" spans="1:6" x14ac:dyDescent="0.2">
      <c r="A9" s="37" t="s">
        <v>46</v>
      </c>
      <c r="B9" s="38">
        <v>21</v>
      </c>
      <c r="C9" s="36" t="str">
        <f>"F"&amp;B9</f>
        <v>F21</v>
      </c>
      <c r="D9" s="50" t="str">
        <f>"G"&amp;B9</f>
        <v>G21</v>
      </c>
    </row>
    <row r="10" spans="1:6" ht="13.5" thickBot="1" x14ac:dyDescent="0.25">
      <c r="A10" s="19"/>
      <c r="B10" s="19"/>
      <c r="C10" s="5" t="s">
        <v>21</v>
      </c>
      <c r="D10" s="5" t="s">
        <v>22</v>
      </c>
      <c r="E10" s="19"/>
    </row>
    <row r="11" spans="1:6" x14ac:dyDescent="0.2">
      <c r="A11" s="19" t="s">
        <v>17</v>
      </c>
      <c r="B11" s="19"/>
      <c r="C11" s="35">
        <f ca="1">INTERCEPT(INDIRECT($D$9):G990,INDIRECT($C$9):F990)</f>
        <v>-0.14635316978565285</v>
      </c>
      <c r="D11" s="21"/>
      <c r="E11" s="19"/>
    </row>
    <row r="12" spans="1:6" x14ac:dyDescent="0.2">
      <c r="A12" s="19" t="s">
        <v>18</v>
      </c>
      <c r="B12" s="19"/>
      <c r="C12" s="35">
        <f ca="1">SLOPE(INDIRECT($D$9):G990,INDIRECT($C$9):F990)</f>
        <v>1.9133148518607455E-5</v>
      </c>
      <c r="D12" s="21"/>
      <c r="E12" s="19"/>
    </row>
    <row r="13" spans="1:6" x14ac:dyDescent="0.2">
      <c r="A13" s="19" t="s">
        <v>20</v>
      </c>
      <c r="B13" s="19"/>
      <c r="C13" s="21" t="s">
        <v>15</v>
      </c>
    </row>
    <row r="14" spans="1:6" x14ac:dyDescent="0.2">
      <c r="A14" s="19"/>
      <c r="B14" s="19"/>
      <c r="C14" s="19"/>
    </row>
    <row r="15" spans="1:6" x14ac:dyDescent="0.2">
      <c r="A15" s="22" t="s">
        <v>19</v>
      </c>
      <c r="B15" s="19"/>
      <c r="C15" s="23">
        <f ca="1">(C7+C11)+(C8+C12)*INT(MAX(F21:F3531))</f>
        <v>59806.498654688592</v>
      </c>
      <c r="E15" s="24" t="s">
        <v>50</v>
      </c>
      <c r="F15" s="20">
        <v>1</v>
      </c>
    </row>
    <row r="16" spans="1:6" x14ac:dyDescent="0.2">
      <c r="A16" s="26" t="s">
        <v>5</v>
      </c>
      <c r="B16" s="19"/>
      <c r="C16" s="27">
        <f ca="1">+C8+C12</f>
        <v>0.93148813314851864</v>
      </c>
      <c r="E16" s="24" t="s">
        <v>39</v>
      </c>
      <c r="F16" s="25">
        <f ca="1">NOW()+15018.5+$C$5/24</f>
        <v>60171.827945833335</v>
      </c>
    </row>
    <row r="17" spans="1:17" ht="13.5" thickBot="1" x14ac:dyDescent="0.25">
      <c r="A17" s="24" t="s">
        <v>35</v>
      </c>
      <c r="B17" s="19"/>
      <c r="C17" s="19">
        <f>COUNT(C21:C2189)</f>
        <v>40</v>
      </c>
      <c r="E17" s="24" t="s">
        <v>51</v>
      </c>
      <c r="F17" s="25">
        <f ca="1">ROUND(2*(F16-$C$7)/$C$8,0)/2+F15</f>
        <v>23524.5</v>
      </c>
    </row>
    <row r="18" spans="1:17" ht="14.25" thickTop="1" thickBot="1" x14ac:dyDescent="0.25">
      <c r="A18" s="26" t="s">
        <v>6</v>
      </c>
      <c r="B18" s="19"/>
      <c r="C18" s="29">
        <f ca="1">+C15</f>
        <v>59806.498654688592</v>
      </c>
      <c r="D18" s="30">
        <f ca="1">+C16</f>
        <v>0.93148813314851864</v>
      </c>
      <c r="E18" s="24" t="s">
        <v>40</v>
      </c>
      <c r="F18" s="11">
        <f ca="1">ROUND(2*(F16-$C$15)/$C$16,0)/2+F15</f>
        <v>393</v>
      </c>
    </row>
    <row r="19" spans="1:17" ht="13.5" thickTop="1" x14ac:dyDescent="0.2">
      <c r="E19" s="24" t="s">
        <v>41</v>
      </c>
      <c r="F19" s="28">
        <f ca="1">+$C$15+$C$16*F18-15018.5-$C$5/24</f>
        <v>45154.469324349295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1" t="s">
        <v>12</v>
      </c>
      <c r="H20" s="8" t="s">
        <v>69</v>
      </c>
      <c r="I20" s="8" t="s">
        <v>72</v>
      </c>
      <c r="J20" s="8" t="s">
        <v>66</v>
      </c>
      <c r="K20" s="8" t="s">
        <v>64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3">
        <v>38260.392999999996</v>
      </c>
      <c r="D21" s="13" t="s">
        <v>15</v>
      </c>
      <c r="E21">
        <f>+(C21-C$7)/C$8</f>
        <v>0</v>
      </c>
      <c r="F21">
        <f>ROUND(2*E21,0)/2</f>
        <v>0</v>
      </c>
      <c r="H21" s="11">
        <v>0</v>
      </c>
      <c r="O21">
        <f ca="1">+C$11+C$12*$F21</f>
        <v>-0.14635316978565285</v>
      </c>
      <c r="Q21" s="2">
        <f>+C21-15018.5</f>
        <v>23241.892999999996</v>
      </c>
    </row>
    <row r="22" spans="1:17" x14ac:dyDescent="0.2">
      <c r="A22" s="33" t="s">
        <v>43</v>
      </c>
      <c r="B22" s="21" t="s">
        <v>33</v>
      </c>
      <c r="C22" s="34">
        <v>50666.739099999999</v>
      </c>
      <c r="D22" s="13">
        <v>1E-4</v>
      </c>
      <c r="E22">
        <f>+(C22-C$7)/C$8</f>
        <v>13319.118618010909</v>
      </c>
      <c r="F22">
        <f>ROUND(2*E22,0)/2</f>
        <v>13319</v>
      </c>
      <c r="G22" s="13">
        <f>+C22-(C$7+F22*C$8)</f>
        <v>0.11048900000605499</v>
      </c>
      <c r="K22">
        <f>+G22</f>
        <v>0.11048900000605499</v>
      </c>
      <c r="O22">
        <f ca="1">+C$11+C$12*$F22</f>
        <v>0.10848123533367984</v>
      </c>
      <c r="Q22" s="2">
        <f>+C22-15018.5</f>
        <v>35648.239099999999</v>
      </c>
    </row>
    <row r="23" spans="1:17" x14ac:dyDescent="0.2">
      <c r="A23" s="33" t="s">
        <v>43</v>
      </c>
      <c r="B23" s="21" t="s">
        <v>44</v>
      </c>
      <c r="C23" s="34">
        <v>50672.793299999998</v>
      </c>
      <c r="D23" s="13">
        <v>1E-3</v>
      </c>
      <c r="E23">
        <f>+(C23-C$7)/C$8</f>
        <v>13325.618243870704</v>
      </c>
      <c r="F23">
        <f>ROUND(2*E23,0)/2</f>
        <v>13325.5</v>
      </c>
      <c r="G23" s="13">
        <f>+C23-(C$7+F23*C$8)</f>
        <v>0.11014050000085263</v>
      </c>
      <c r="K23">
        <f>+G23</f>
        <v>0.11014050000085263</v>
      </c>
      <c r="O23">
        <f ca="1">+C$11+C$12*$F23</f>
        <v>0.10860560079905077</v>
      </c>
      <c r="Q23" s="2">
        <f>+C23-15018.5</f>
        <v>35654.293299999998</v>
      </c>
    </row>
    <row r="24" spans="1:17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>
        <f>+(C24-C$7)/C$8</f>
        <v>14402.134907334546</v>
      </c>
      <c r="F24">
        <f>ROUND(2*E24,0)/2</f>
        <v>14402</v>
      </c>
      <c r="G24" s="13">
        <f>+C24-(C$7+F24*C$8)</f>
        <v>0.12566200000583194</v>
      </c>
      <c r="K24">
        <f>+G24</f>
        <v>0.12566200000583194</v>
      </c>
      <c r="O24">
        <f ca="1">+C$11+C$12*$F24</f>
        <v>0.12920243517933169</v>
      </c>
      <c r="Q24" s="2">
        <f>+C24-15018.5</f>
        <v>36657.035199999998</v>
      </c>
    </row>
    <row r="25" spans="1:17" x14ac:dyDescent="0.2">
      <c r="A25" s="66" t="s">
        <v>93</v>
      </c>
      <c r="B25" s="68" t="s">
        <v>33</v>
      </c>
      <c r="C25" s="67">
        <v>51757.504999999997</v>
      </c>
      <c r="D25" s="13"/>
      <c r="E25">
        <f>+(C25-C$7)/C$8</f>
        <v>14490.135474181106</v>
      </c>
      <c r="F25">
        <f>ROUND(2*E25,0)/2</f>
        <v>14490</v>
      </c>
      <c r="G25" s="13">
        <f>+C25-(C$7+F25*C$8)</f>
        <v>0.12619000000267988</v>
      </c>
      <c r="K25">
        <f>+G25</f>
        <v>0.12619000000267988</v>
      </c>
      <c r="O25">
        <f ca="1">+C$11+C$12*$F25</f>
        <v>0.13088615224896918</v>
      </c>
      <c r="Q25" s="2">
        <f>+C25-15018.5</f>
        <v>36739.004999999997</v>
      </c>
    </row>
    <row r="26" spans="1:17" x14ac:dyDescent="0.2">
      <c r="A26" s="66" t="s">
        <v>97</v>
      </c>
      <c r="B26" s="68" t="s">
        <v>33</v>
      </c>
      <c r="C26" s="67">
        <v>52084.462399999997</v>
      </c>
      <c r="D26" s="13"/>
      <c r="E26">
        <f>+(C26-C$7)/C$8</f>
        <v>14841.148121945014</v>
      </c>
      <c r="F26">
        <f>ROUND(2*E26,0)/2</f>
        <v>14841</v>
      </c>
      <c r="G26" s="13">
        <f>+C26-(C$7+F26*C$8)</f>
        <v>0.13797099999646889</v>
      </c>
      <c r="K26">
        <f>+G26</f>
        <v>0.13797099999646889</v>
      </c>
      <c r="O26">
        <f ca="1">+C$11+C$12*$F26</f>
        <v>0.13760188737900039</v>
      </c>
      <c r="Q26" s="2">
        <f>+C26-15018.5</f>
        <v>37065.962399999997</v>
      </c>
    </row>
    <row r="27" spans="1:17" x14ac:dyDescent="0.2">
      <c r="A27" s="12" t="s">
        <v>34</v>
      </c>
      <c r="B27" s="10" t="s">
        <v>33</v>
      </c>
      <c r="C27" s="14">
        <v>52138.489300000001</v>
      </c>
      <c r="D27" s="14">
        <v>4.5999999999999999E-3</v>
      </c>
      <c r="E27">
        <f>+(C27-C$7)/C$8</f>
        <v>14899.14994487203</v>
      </c>
      <c r="F27">
        <f>ROUND(2*E27,0)/2</f>
        <v>14899</v>
      </c>
      <c r="G27" s="13">
        <f>+C27-(C$7+F27*C$8)</f>
        <v>0.13966900000377791</v>
      </c>
      <c r="K27">
        <f>+G27</f>
        <v>0.13966900000377791</v>
      </c>
      <c r="O27">
        <f ca="1">+C$11+C$12*$F27</f>
        <v>0.1387116099930796</v>
      </c>
      <c r="Q27" s="2">
        <f>+C27-15018.5</f>
        <v>37119.989300000001</v>
      </c>
    </row>
    <row r="28" spans="1:17" x14ac:dyDescent="0.2">
      <c r="A28" s="32" t="s">
        <v>34</v>
      </c>
      <c r="B28" s="10" t="s">
        <v>33</v>
      </c>
      <c r="C28" s="14">
        <v>52138.489300000001</v>
      </c>
      <c r="D28" s="14">
        <v>4.5999999999999999E-3</v>
      </c>
      <c r="E28">
        <f>+(C28-C$7)/C$8</f>
        <v>14899.14994487203</v>
      </c>
      <c r="F28">
        <f>ROUND(2*E28,0)/2</f>
        <v>14899</v>
      </c>
      <c r="G28" s="13">
        <f>+C28-(C$7+F28*C$8)</f>
        <v>0.13966900000377791</v>
      </c>
      <c r="K28">
        <f>+G28</f>
        <v>0.13966900000377791</v>
      </c>
      <c r="O28">
        <f ca="1">+C$11+C$12*$F28</f>
        <v>0.1387116099930796</v>
      </c>
      <c r="Q28" s="2">
        <f>+C28-15018.5</f>
        <v>37119.989300000001</v>
      </c>
    </row>
    <row r="29" spans="1:17" x14ac:dyDescent="0.2">
      <c r="A29" s="15" t="s">
        <v>36</v>
      </c>
      <c r="B29" s="16" t="s">
        <v>33</v>
      </c>
      <c r="C29" s="17">
        <v>53566.453600000001</v>
      </c>
      <c r="D29" s="17">
        <v>1.6000000000000001E-3</v>
      </c>
      <c r="E29">
        <f>+(C29-C$7)/C$8</f>
        <v>16432.173910242858</v>
      </c>
      <c r="F29">
        <f>ROUND(2*E29,0)/2</f>
        <v>16432</v>
      </c>
      <c r="G29" s="13">
        <f>+C29-(C$7+F29*C$8)</f>
        <v>0.16199200000119163</v>
      </c>
      <c r="J29">
        <f>+G29</f>
        <v>0.16199200000119163</v>
      </c>
      <c r="O29">
        <f ca="1">+C$11+C$12*$F29</f>
        <v>0.16804272667210482</v>
      </c>
      <c r="Q29" s="2">
        <f>+C29-15018.5</f>
        <v>38547.953600000001</v>
      </c>
    </row>
    <row r="30" spans="1:17" x14ac:dyDescent="0.2">
      <c r="A30" s="15" t="s">
        <v>47</v>
      </c>
      <c r="B30" s="16" t="s">
        <v>33</v>
      </c>
      <c r="C30" s="17">
        <v>54217.563390000003</v>
      </c>
      <c r="D30" s="17">
        <v>2.0000000000000001E-4</v>
      </c>
      <c r="E30">
        <f>+(C30-C$7)/C$8</f>
        <v>17131.187822675802</v>
      </c>
      <c r="F30">
        <f>ROUND(2*E30,0)/2</f>
        <v>17131</v>
      </c>
      <c r="G30" s="13">
        <f>+C30-(C$7+F30*C$8)</f>
        <v>0.17495100000815</v>
      </c>
      <c r="K30">
        <f>+G30</f>
        <v>0.17495100000815</v>
      </c>
      <c r="O30">
        <f ca="1">+C$11+C$12*$F30</f>
        <v>0.18141679748661146</v>
      </c>
      <c r="Q30" s="2">
        <f>+C30-15018.5</f>
        <v>39199.063390000003</v>
      </c>
    </row>
    <row r="31" spans="1:17" x14ac:dyDescent="0.2">
      <c r="A31" s="17" t="s">
        <v>45</v>
      </c>
      <c r="B31" s="39"/>
      <c r="C31" s="17">
        <v>54245.5069</v>
      </c>
      <c r="D31" s="17">
        <v>6.9999999999999999E-4</v>
      </c>
      <c r="E31">
        <f>+(C31-C$7)/C$8</f>
        <v>17161.187221474902</v>
      </c>
      <c r="F31">
        <f>ROUND(2*E31,0)/2</f>
        <v>17161</v>
      </c>
      <c r="G31" s="13">
        <f>+C31-(C$7+F31*C$8)</f>
        <v>0.17439100000046892</v>
      </c>
      <c r="J31">
        <f>+G31</f>
        <v>0.17439100000046892</v>
      </c>
      <c r="O31">
        <f ca="1">+C$11+C$12*$F31</f>
        <v>0.18199079194216969</v>
      </c>
      <c r="Q31" s="2">
        <f>+C31-15018.5</f>
        <v>39227.0069</v>
      </c>
    </row>
    <row r="32" spans="1:17" x14ac:dyDescent="0.2">
      <c r="A32" s="66" t="s">
        <v>124</v>
      </c>
      <c r="B32" s="68" t="s">
        <v>33</v>
      </c>
      <c r="C32" s="67">
        <v>55074.538099999998</v>
      </c>
      <c r="D32" s="13"/>
      <c r="E32">
        <f>+(C32-C$7)/C$8</f>
        <v>18051.212761777366</v>
      </c>
      <c r="F32">
        <f>ROUND(2*E32,0)/2</f>
        <v>18051</v>
      </c>
      <c r="G32" s="13">
        <f>+C32-(C$7+F32*C$8)</f>
        <v>0.19818100000702543</v>
      </c>
      <c r="K32">
        <f>+G32</f>
        <v>0.19818100000702543</v>
      </c>
      <c r="O32">
        <f ca="1">+C$11+C$12*$F32</f>
        <v>0.19901929412373029</v>
      </c>
      <c r="Q32" s="2">
        <f>+C32-15018.5</f>
        <v>40056.038099999998</v>
      </c>
    </row>
    <row r="33" spans="1:17" x14ac:dyDescent="0.2">
      <c r="A33" s="40" t="s">
        <v>49</v>
      </c>
      <c r="B33" s="41" t="s">
        <v>33</v>
      </c>
      <c r="C33" s="40">
        <v>55342.807800000002</v>
      </c>
      <c r="D33" s="40">
        <v>2.9999999999999997E-4</v>
      </c>
      <c r="E33">
        <f>+(C33-C$7)/C$8</f>
        <v>18339.219877419437</v>
      </c>
      <c r="F33">
        <f>ROUND(2*E33,0)/2</f>
        <v>18339</v>
      </c>
      <c r="G33" s="13">
        <f>+C33-(C$7+F33*C$8)</f>
        <v>0.20480900000984548</v>
      </c>
      <c r="K33">
        <f>+G33</f>
        <v>0.20480900000984548</v>
      </c>
      <c r="O33">
        <f ca="1">+C$11+C$12*$F33</f>
        <v>0.20452964089708928</v>
      </c>
      <c r="Q33" s="2">
        <f>+C33-15018.5</f>
        <v>40324.307800000002</v>
      </c>
    </row>
    <row r="34" spans="1:17" x14ac:dyDescent="0.2">
      <c r="A34" s="15" t="s">
        <v>52</v>
      </c>
      <c r="B34" s="16" t="s">
        <v>33</v>
      </c>
      <c r="C34" s="17">
        <v>55375.41072</v>
      </c>
      <c r="D34" s="17">
        <v>2.9999999999999997E-4</v>
      </c>
      <c r="E34">
        <f>+(C34-C$7)/C$8</f>
        <v>18374.221493146852</v>
      </c>
      <c r="F34">
        <f>ROUND(2*E34,0)/2</f>
        <v>18374</v>
      </c>
      <c r="G34" s="13">
        <f>+C34-(C$7+F34*C$8)</f>
        <v>0.2063140000027488</v>
      </c>
      <c r="K34">
        <f>+G34</f>
        <v>0.2063140000027488</v>
      </c>
      <c r="O34">
        <f ca="1">+C$11+C$12*$F34</f>
        <v>0.20519930109524051</v>
      </c>
      <c r="Q34" s="2">
        <f>+C34-15018.5</f>
        <v>40356.91072</v>
      </c>
    </row>
    <row r="35" spans="1:17" x14ac:dyDescent="0.2">
      <c r="A35" s="46" t="s">
        <v>57</v>
      </c>
      <c r="B35" s="39" t="s">
        <v>33</v>
      </c>
      <c r="C35" s="17">
        <v>55380.530599999998</v>
      </c>
      <c r="D35" s="47">
        <v>2.3999999999999998E-3</v>
      </c>
      <c r="E35">
        <f>+(C35-C$7)/C$8</f>
        <v>18379.718058249928</v>
      </c>
      <c r="F35">
        <f>ROUND(2*E35,0)/2</f>
        <v>18379.5</v>
      </c>
      <c r="G35" s="13">
        <f>+C35-(C$7+F35*C$8)</f>
        <v>0.20311450000735931</v>
      </c>
      <c r="J35">
        <f>+G35</f>
        <v>0.20311450000735931</v>
      </c>
      <c r="O35">
        <f ca="1">+C$11+C$12*$F35</f>
        <v>0.20530453341209284</v>
      </c>
      <c r="Q35" s="2">
        <f>+C35-15018.5</f>
        <v>40362.030599999998</v>
      </c>
    </row>
    <row r="36" spans="1:17" x14ac:dyDescent="0.2">
      <c r="A36" s="46" t="s">
        <v>57</v>
      </c>
      <c r="B36" s="39" t="s">
        <v>33</v>
      </c>
      <c r="C36" s="17">
        <v>55387.519999999997</v>
      </c>
      <c r="D36" s="47">
        <v>8.9999999999999998E-4</v>
      </c>
      <c r="E36">
        <f>+(C36-C$7)/C$8</f>
        <v>18387.221689610713</v>
      </c>
      <c r="F36">
        <f>ROUND(2*E36,0)/2</f>
        <v>18387</v>
      </c>
      <c r="G36" s="13">
        <f>+C36-(C$7+F36*C$8)</f>
        <v>0.20649699999921722</v>
      </c>
      <c r="J36">
        <f>+G36</f>
        <v>0.20649699999921722</v>
      </c>
      <c r="O36">
        <f ca="1">+C$11+C$12*$F36</f>
        <v>0.20544803202598241</v>
      </c>
      <c r="Q36" s="2">
        <f>+C36-15018.5</f>
        <v>40369.019999999997</v>
      </c>
    </row>
    <row r="37" spans="1:17" x14ac:dyDescent="0.2">
      <c r="A37" s="48" t="s">
        <v>59</v>
      </c>
      <c r="B37" s="48"/>
      <c r="C37" s="44">
        <v>55387.5213</v>
      </c>
      <c r="D37" s="44">
        <v>2E-3</v>
      </c>
      <c r="E37">
        <f>+(C37-C$7)/C$8</f>
        <v>18387.22308525566</v>
      </c>
      <c r="F37">
        <f>ROUND(2*E37,0)/2</f>
        <v>18387</v>
      </c>
      <c r="G37" s="13">
        <f>+C37-(C$7+F37*C$8)</f>
        <v>0.20779700000275625</v>
      </c>
      <c r="J37">
        <f>+G37</f>
        <v>0.20779700000275625</v>
      </c>
      <c r="O37">
        <f ca="1">+C$11+C$12*$F37</f>
        <v>0.20544803202598241</v>
      </c>
      <c r="Q37" s="2">
        <f>+C37-15018.5</f>
        <v>40369.0213</v>
      </c>
    </row>
    <row r="38" spans="1:17" x14ac:dyDescent="0.2">
      <c r="A38" s="46" t="s">
        <v>57</v>
      </c>
      <c r="B38" s="39" t="s">
        <v>33</v>
      </c>
      <c r="C38" s="17">
        <v>55409.412100000001</v>
      </c>
      <c r="D38" s="47">
        <v>1.1999999999999999E-3</v>
      </c>
      <c r="E38">
        <f>+(C38-C$7)/C$8</f>
        <v>18410.724457818786</v>
      </c>
      <c r="F38">
        <f>ROUND(2*E38,0)/2</f>
        <v>18410.5</v>
      </c>
      <c r="G38" s="13">
        <f>+C38-(C$7+F38*C$8)</f>
        <v>0.20907550000993069</v>
      </c>
      <c r="J38">
        <f>+G38</f>
        <v>0.20907550000993069</v>
      </c>
      <c r="O38">
        <f ca="1">+C$11+C$12*$F38</f>
        <v>0.20589766101616971</v>
      </c>
      <c r="Q38" s="2">
        <f>+C38-15018.5</f>
        <v>40390.912100000001</v>
      </c>
    </row>
    <row r="39" spans="1:17" x14ac:dyDescent="0.2">
      <c r="A39" s="48" t="s">
        <v>59</v>
      </c>
      <c r="B39" s="48"/>
      <c r="C39" s="44">
        <v>55429.438499999997</v>
      </c>
      <c r="D39" s="44">
        <v>5.0000000000000001E-4</v>
      </c>
      <c r="E39">
        <f>+(C39-C$7)/C$8</f>
        <v>18432.224260818126</v>
      </c>
      <c r="F39">
        <f>ROUND(2*E39,0)/2</f>
        <v>18432</v>
      </c>
      <c r="G39" s="13">
        <f>+C39-(C$7+F39*C$8)</f>
        <v>0.20889200000237906</v>
      </c>
      <c r="J39">
        <f>+G39</f>
        <v>0.20889200000237906</v>
      </c>
      <c r="O39">
        <f ca="1">+C$11+C$12*$F39</f>
        <v>0.20630902370931978</v>
      </c>
      <c r="Q39" s="2">
        <f>+C39-15018.5</f>
        <v>40410.938499999997</v>
      </c>
    </row>
    <row r="40" spans="1:17" x14ac:dyDescent="0.2">
      <c r="A40" s="48" t="s">
        <v>59</v>
      </c>
      <c r="B40" s="48"/>
      <c r="C40" s="44">
        <v>55430.369599999998</v>
      </c>
      <c r="D40" s="44">
        <v>1.9E-3</v>
      </c>
      <c r="E40">
        <f>+(C40-C$7)/C$8</f>
        <v>18433.223864669679</v>
      </c>
      <c r="F40">
        <f>ROUND(2*E40,0)/2</f>
        <v>18433</v>
      </c>
      <c r="G40" s="13">
        <f>+C40-(C$7+F40*C$8)</f>
        <v>0.20852300000115065</v>
      </c>
      <c r="J40">
        <f>+G40</f>
        <v>0.20852300000115065</v>
      </c>
      <c r="O40">
        <f ca="1">+C$11+C$12*$F40</f>
        <v>0.20632815685783837</v>
      </c>
      <c r="Q40" s="2">
        <f>+C40-15018.5</f>
        <v>40411.869599999998</v>
      </c>
    </row>
    <row r="41" spans="1:17" x14ac:dyDescent="0.2">
      <c r="A41" s="40" t="s">
        <v>54</v>
      </c>
      <c r="B41" s="41" t="s">
        <v>33</v>
      </c>
      <c r="C41" s="40">
        <v>55616.66689</v>
      </c>
      <c r="D41" s="40">
        <v>1.2E-4</v>
      </c>
      <c r="E41">
        <f>+(C41-C$7)/C$8</f>
        <v>18633.227611439568</v>
      </c>
      <c r="F41">
        <f>ROUND(2*E41,0)/2</f>
        <v>18633</v>
      </c>
      <c r="G41" s="13">
        <f>+C41-(C$7+F41*C$8)</f>
        <v>0.2120130000039353</v>
      </c>
      <c r="K41">
        <f>+G41</f>
        <v>0.2120130000039353</v>
      </c>
      <c r="O41">
        <f ca="1">+C$11+C$12*$F41</f>
        <v>0.21015478656155986</v>
      </c>
      <c r="Q41" s="2">
        <f>+C41-15018.5</f>
        <v>40598.16689</v>
      </c>
    </row>
    <row r="42" spans="1:17" x14ac:dyDescent="0.2">
      <c r="A42" s="40" t="s">
        <v>55</v>
      </c>
      <c r="B42" s="41" t="s">
        <v>33</v>
      </c>
      <c r="C42" s="40">
        <v>55700.501300000004</v>
      </c>
      <c r="D42" s="40">
        <v>3.0000000000000001E-3</v>
      </c>
      <c r="E42">
        <f>+(C42-C$7)/C$8</f>
        <v>18723.229973300247</v>
      </c>
      <c r="F42">
        <f>ROUND(2*E42,0)/2</f>
        <v>18723</v>
      </c>
      <c r="G42" s="13">
        <f>+C42-(C$7+F42*C$8)</f>
        <v>0.21421300000656629</v>
      </c>
      <c r="J42">
        <f>+G42</f>
        <v>0.21421300000656629</v>
      </c>
      <c r="O42">
        <f ca="1">+C$11+C$12*$F42</f>
        <v>0.21187676992823454</v>
      </c>
      <c r="Q42" s="2">
        <f>+C42-15018.5</f>
        <v>40682.001300000004</v>
      </c>
    </row>
    <row r="43" spans="1:17" x14ac:dyDescent="0.2">
      <c r="A43" s="40" t="s">
        <v>55</v>
      </c>
      <c r="B43" s="41" t="s">
        <v>44</v>
      </c>
      <c r="C43" s="40">
        <v>55707.487000000001</v>
      </c>
      <c r="D43" s="40">
        <v>4.7999999999999996E-3</v>
      </c>
      <c r="E43">
        <f>+(C43-C$7)/C$8</f>
        <v>18730.729632440805</v>
      </c>
      <c r="F43">
        <f>ROUND(2*E43,0)/2</f>
        <v>18730.5</v>
      </c>
      <c r="G43" s="13">
        <f>+C43-(C$7+F43*C$8)</f>
        <v>0.21389550000458257</v>
      </c>
      <c r="J43">
        <f>+G43</f>
        <v>0.21389550000458257</v>
      </c>
      <c r="O43">
        <f ca="1">+C$11+C$12*$F43</f>
        <v>0.21202026854212405</v>
      </c>
      <c r="Q43" s="2">
        <f>+C43-15018.5</f>
        <v>40688.987000000001</v>
      </c>
    </row>
    <row r="44" spans="1:17" x14ac:dyDescent="0.2">
      <c r="A44" s="40" t="s">
        <v>53</v>
      </c>
      <c r="B44" s="41" t="s">
        <v>33</v>
      </c>
      <c r="C44" s="40">
        <v>55710.750699999997</v>
      </c>
      <c r="D44" s="40">
        <v>8.9999999999999998E-4</v>
      </c>
      <c r="E44">
        <f>+(C44-C$7)/C$8</f>
        <v>18734.233452750443</v>
      </c>
      <c r="F44">
        <f>ROUND(2*E44,0)/2</f>
        <v>18734</v>
      </c>
      <c r="G44" s="13">
        <f>+C44-(C$7+F44*C$8)</f>
        <v>0.21745400000509107</v>
      </c>
      <c r="K44">
        <f>+G44</f>
        <v>0.21745400000509107</v>
      </c>
      <c r="O44">
        <f ca="1">+C$11+C$12*$F44</f>
        <v>0.2120872345619392</v>
      </c>
      <c r="Q44" s="2">
        <f>+C44-15018.5</f>
        <v>40692.250699999997</v>
      </c>
    </row>
    <row r="45" spans="1:17" x14ac:dyDescent="0.2">
      <c r="A45" s="15" t="s">
        <v>56</v>
      </c>
      <c r="B45" s="16" t="s">
        <v>44</v>
      </c>
      <c r="C45" s="17">
        <v>56102.437129999998</v>
      </c>
      <c r="D45" s="17">
        <v>4.0000000000000002E-4</v>
      </c>
      <c r="E45">
        <f>+(C45-C$7)/C$8</f>
        <v>19154.737441611051</v>
      </c>
      <c r="F45">
        <f>ROUND(2*E45,0)/2</f>
        <v>19154.5</v>
      </c>
      <c r="G45" s="13">
        <f>+C45-(C$7+F45*C$8)</f>
        <v>0.22116950000054203</v>
      </c>
      <c r="K45">
        <f>+G45</f>
        <v>0.22116950000054203</v>
      </c>
      <c r="O45">
        <f ca="1">+C$11+C$12*$F45</f>
        <v>0.22013272351401361</v>
      </c>
      <c r="Q45" s="2">
        <f>+C45-15018.5</f>
        <v>41083.937129999998</v>
      </c>
    </row>
    <row r="46" spans="1:17" x14ac:dyDescent="0.2">
      <c r="A46" s="46" t="s">
        <v>57</v>
      </c>
      <c r="B46" s="39" t="s">
        <v>33</v>
      </c>
      <c r="C46" s="17">
        <v>56136.435299999997</v>
      </c>
      <c r="D46" s="47">
        <v>1.8E-3</v>
      </c>
      <c r="E46">
        <f>+(C46-C$7)/C$8</f>
        <v>19191.236960113543</v>
      </c>
      <c r="F46">
        <f>ROUND(2*E46,0)/2</f>
        <v>19191</v>
      </c>
      <c r="G46" s="13">
        <f>+C46-(C$7+F46*C$8)</f>
        <v>0.22072100000514183</v>
      </c>
      <c r="J46">
        <f>+G46</f>
        <v>0.22072100000514183</v>
      </c>
      <c r="O46">
        <f ca="1">+C$11+C$12*$F46</f>
        <v>0.22083108343494282</v>
      </c>
      <c r="Q46" s="2">
        <f>+C46-15018.5</f>
        <v>41117.935299999997</v>
      </c>
    </row>
    <row r="47" spans="1:17" x14ac:dyDescent="0.2">
      <c r="A47" s="15" t="s">
        <v>56</v>
      </c>
      <c r="B47" s="16" t="s">
        <v>33</v>
      </c>
      <c r="C47" s="17">
        <v>56275.226320000002</v>
      </c>
      <c r="D47" s="17">
        <v>2.9999999999999997E-4</v>
      </c>
      <c r="E47">
        <f>+(C47-C$7)/C$8</f>
        <v>19340.239256486264</v>
      </c>
      <c r="F47">
        <f>ROUND(2*E47,0)/2</f>
        <v>19340</v>
      </c>
      <c r="G47" s="13">
        <f>+C47-(C$7+F47*C$8)</f>
        <v>0.22286000000895001</v>
      </c>
      <c r="O47">
        <f ca="1">+C$11+C$12*$F47</f>
        <v>0.22368192256421535</v>
      </c>
      <c r="Q47" s="2">
        <f>+C47-15018.5</f>
        <v>41256.726320000002</v>
      </c>
    </row>
    <row r="48" spans="1:17" x14ac:dyDescent="0.2">
      <c r="A48" s="46" t="s">
        <v>57</v>
      </c>
      <c r="B48" s="39" t="s">
        <v>33</v>
      </c>
      <c r="C48" s="17">
        <v>56579.3557</v>
      </c>
      <c r="D48" s="47">
        <v>1.8E-3</v>
      </c>
      <c r="E48">
        <f>+(C48-C$7)/C$8</f>
        <v>19666.744357568532</v>
      </c>
      <c r="F48">
        <f>ROUND(2*E48,0)/2</f>
        <v>19666.5</v>
      </c>
      <c r="G48" s="13">
        <f>+C48-(C$7+F48*C$8)</f>
        <v>0.22761149999860208</v>
      </c>
      <c r="J48">
        <f>+G48</f>
        <v>0.22761149999860208</v>
      </c>
      <c r="O48">
        <f ca="1">+C$11+C$12*$F48</f>
        <v>0.22992889555554066</v>
      </c>
      <c r="Q48" s="2">
        <f>+C48-15018.5</f>
        <v>41560.8557</v>
      </c>
    </row>
    <row r="49" spans="1:17" x14ac:dyDescent="0.2">
      <c r="A49" s="72" t="s">
        <v>211</v>
      </c>
      <c r="B49" s="73" t="s">
        <v>44</v>
      </c>
      <c r="C49" s="75">
        <v>56579.362300000001</v>
      </c>
      <c r="D49" s="72">
        <v>3.5000000000000001E-3</v>
      </c>
      <c r="E49">
        <f>+(C49-C$7)/C$8</f>
        <v>19666.751443150555</v>
      </c>
      <c r="F49" s="76">
        <f>ROUND(2*E49,0)/2-0.5</f>
        <v>19666.5</v>
      </c>
      <c r="G49" s="13">
        <f>+C49-(C$7+F49*C$8)</f>
        <v>0.23421149999921909</v>
      </c>
      <c r="K49">
        <f>+G49</f>
        <v>0.23421149999921909</v>
      </c>
      <c r="O49">
        <f ca="1">+C$11+C$12*$F49</f>
        <v>0.22992889555554066</v>
      </c>
      <c r="Q49" s="2">
        <f>+C49-15018.5</f>
        <v>41560.862300000001</v>
      </c>
    </row>
    <row r="50" spans="1:17" x14ac:dyDescent="0.2">
      <c r="A50" s="45" t="s">
        <v>60</v>
      </c>
      <c r="B50" s="43" t="s">
        <v>33</v>
      </c>
      <c r="C50" s="45">
        <v>56897.465300000003</v>
      </c>
      <c r="D50" s="45">
        <v>2.0999999999999999E-3</v>
      </c>
      <c r="E50">
        <f>+(C50-C$7)/C$8</f>
        <v>20008.258245846086</v>
      </c>
      <c r="F50" s="52">
        <f>ROUND(2*E50,0)/2-0.5</f>
        <v>20008</v>
      </c>
      <c r="G50" s="13">
        <f>+C50-(C$7+F50*C$8)</f>
        <v>0.24054800000885734</v>
      </c>
      <c r="J50">
        <f>+G50</f>
        <v>0.24054800000885734</v>
      </c>
      <c r="O50">
        <f ca="1">+C$11+C$12*$F50</f>
        <v>0.23646286577464512</v>
      </c>
      <c r="Q50" s="2">
        <f>+C50-15018.5</f>
        <v>41878.965300000003</v>
      </c>
    </row>
    <row r="51" spans="1:17" x14ac:dyDescent="0.2">
      <c r="A51" s="72" t="s">
        <v>209</v>
      </c>
      <c r="B51" s="73" t="s">
        <v>44</v>
      </c>
      <c r="C51" s="74">
        <v>56918.423699999999</v>
      </c>
      <c r="D51" s="72">
        <v>3.5000000000000001E-3</v>
      </c>
      <c r="E51">
        <f>+(C51-C$7)/C$8</f>
        <v>20030.758618912711</v>
      </c>
      <c r="F51" s="52">
        <f>ROUND(2*E51,0)/2-0.5</f>
        <v>20030.5</v>
      </c>
      <c r="G51" s="13">
        <f>+C51-(C$7+F51*C$8)</f>
        <v>0.24089549999916926</v>
      </c>
      <c r="K51">
        <f>+G51</f>
        <v>0.24089549999916926</v>
      </c>
      <c r="O51">
        <f ca="1">+C$11+C$12*$F51</f>
        <v>0.23689336161631377</v>
      </c>
      <c r="Q51" s="2">
        <f>+C51-15018.5</f>
        <v>41899.923699999999</v>
      </c>
    </row>
    <row r="52" spans="1:17" x14ac:dyDescent="0.2">
      <c r="A52" s="45" t="s">
        <v>61</v>
      </c>
      <c r="B52" s="49"/>
      <c r="C52" s="45">
        <v>56918.425499999998</v>
      </c>
      <c r="D52" s="45">
        <v>6.9999999999999999E-4</v>
      </c>
      <c r="E52">
        <f>+(C52-C$7)/C$8</f>
        <v>20030.760551344167</v>
      </c>
      <c r="F52" s="52">
        <f>ROUND(2*E52,0)/2-0.5</f>
        <v>20030.5</v>
      </c>
      <c r="G52" s="13">
        <f>+C52-(C$7+F52*C$8)</f>
        <v>0.24269549999735318</v>
      </c>
      <c r="J52">
        <f>+G52</f>
        <v>0.24269549999735318</v>
      </c>
      <c r="O52">
        <f ca="1">+C$11+C$12*$F52</f>
        <v>0.23689336161631377</v>
      </c>
      <c r="Q52" s="2">
        <f>+C52-15018.5</f>
        <v>41899.925499999998</v>
      </c>
    </row>
    <row r="53" spans="1:17" x14ac:dyDescent="0.2">
      <c r="A53" s="69" t="s">
        <v>0</v>
      </c>
      <c r="B53" s="70" t="s">
        <v>33</v>
      </c>
      <c r="C53" s="71">
        <v>57935.605799999998</v>
      </c>
      <c r="D53" s="71">
        <v>8.0000000000000004E-4</v>
      </c>
      <c r="E53">
        <f>+(C53-C$7)/C$8</f>
        <v>21122.777891695805</v>
      </c>
      <c r="F53" s="52">
        <f>ROUND(2*E53,0)/2-0.5</f>
        <v>21122.5</v>
      </c>
      <c r="G53" s="13">
        <f>+C53-(C$7+F53*C$8)</f>
        <v>0.25884750000113854</v>
      </c>
      <c r="K53">
        <f>+G53</f>
        <v>0.25884750000113854</v>
      </c>
      <c r="O53">
        <f ca="1">+C$11+C$12*$F53</f>
        <v>0.25778675979863308</v>
      </c>
      <c r="Q53" s="2">
        <f>+C53-15018.5</f>
        <v>42917.105799999998</v>
      </c>
    </row>
    <row r="54" spans="1:17" x14ac:dyDescent="0.2">
      <c r="A54" s="69" t="s">
        <v>0</v>
      </c>
      <c r="B54" s="70" t="s">
        <v>33</v>
      </c>
      <c r="C54" s="71">
        <v>57949.579700000002</v>
      </c>
      <c r="D54" s="71">
        <v>8.0000000000000004E-4</v>
      </c>
      <c r="E54">
        <f>+(C54-C$7)/C$8</f>
        <v>21137.779893909519</v>
      </c>
      <c r="F54" s="52">
        <f>ROUND(2*E54,0)/2-0.5</f>
        <v>21137.5</v>
      </c>
      <c r="G54" s="13">
        <f>+C54-(C$7+F54*C$8)</f>
        <v>0.26071250000677537</v>
      </c>
      <c r="K54">
        <f>+G54</f>
        <v>0.26071250000677537</v>
      </c>
      <c r="O54">
        <f ca="1">+C$11+C$12*$F54</f>
        <v>0.25807375702641222</v>
      </c>
      <c r="Q54" s="2">
        <f>+C54-15018.5</f>
        <v>42931.079700000002</v>
      </c>
    </row>
    <row r="55" spans="1:17" x14ac:dyDescent="0.2">
      <c r="A55" s="69" t="s">
        <v>0</v>
      </c>
      <c r="B55" s="70" t="s">
        <v>33</v>
      </c>
      <c r="C55" s="71">
        <v>57950.503100000002</v>
      </c>
      <c r="D55" s="71">
        <v>8.9999999999999998E-4</v>
      </c>
      <c r="E55">
        <f>+(C55-C$7)/C$8</f>
        <v>21138.771231248709</v>
      </c>
      <c r="F55" s="52">
        <f>ROUND(2*E55,0)/2-0.5</f>
        <v>21138.5</v>
      </c>
      <c r="G55" s="13">
        <f>+C55-(C$7+F55*C$8)</f>
        <v>0.25264350000361446</v>
      </c>
      <c r="K55">
        <f>+G55</f>
        <v>0.25264350000361446</v>
      </c>
      <c r="O55">
        <f ca="1">+C$11+C$12*$F55</f>
        <v>0.25809289017493087</v>
      </c>
      <c r="Q55" s="2">
        <f>+C55-15018.5</f>
        <v>42932.003100000002</v>
      </c>
    </row>
    <row r="56" spans="1:17" x14ac:dyDescent="0.2">
      <c r="A56" s="69" t="s">
        <v>0</v>
      </c>
      <c r="B56" s="70" t="s">
        <v>33</v>
      </c>
      <c r="C56" s="71">
        <v>57978.453699999998</v>
      </c>
      <c r="D56" s="71">
        <v>8.0000000000000004E-4</v>
      </c>
      <c r="E56">
        <f>+(C56-C$7)/C$8</f>
        <v>21168.778241680615</v>
      </c>
      <c r="F56" s="52">
        <f>ROUND(2*E56,0)/2-0.5</f>
        <v>21168.5</v>
      </c>
      <c r="G56" s="13">
        <f>+C56-(C$7+F56*C$8)</f>
        <v>0.25917350000236183</v>
      </c>
      <c r="K56">
        <f>+G56</f>
        <v>0.25917350000236183</v>
      </c>
      <c r="O56">
        <f ca="1">+C$11+C$12*$F56</f>
        <v>0.25866688463048904</v>
      </c>
      <c r="Q56" s="2">
        <f>+C56-15018.5</f>
        <v>42959.953699999998</v>
      </c>
    </row>
    <row r="57" spans="1:17" x14ac:dyDescent="0.2">
      <c r="A57" s="72" t="s">
        <v>209</v>
      </c>
      <c r="B57" s="73" t="s">
        <v>33</v>
      </c>
      <c r="C57" s="74">
        <v>59071.553800000002</v>
      </c>
      <c r="D57" s="72">
        <v>3.5000000000000001E-3</v>
      </c>
      <c r="E57">
        <f>+(C57-C$7)/C$8</f>
        <v>22342.301032025764</v>
      </c>
      <c r="F57" s="52">
        <f>ROUND(2*E57,0)/2-0.5</f>
        <v>22342</v>
      </c>
      <c r="G57" s="13">
        <f>+C57-(C$7+F57*C$8)</f>
        <v>0.28040200000395998</v>
      </c>
      <c r="K57">
        <f>+G57</f>
        <v>0.28040200000395998</v>
      </c>
      <c r="O57">
        <f ca="1">+C$11+C$12*$F57</f>
        <v>0.28111963441707488</v>
      </c>
      <c r="Q57" s="2">
        <f>+C57-15018.5</f>
        <v>44053.053800000002</v>
      </c>
    </row>
    <row r="58" spans="1:17" x14ac:dyDescent="0.2">
      <c r="A58" s="72" t="s">
        <v>209</v>
      </c>
      <c r="B58" s="73" t="s">
        <v>44</v>
      </c>
      <c r="C58" s="74">
        <v>59461.380899999996</v>
      </c>
      <c r="D58" s="72">
        <v>3.5000000000000001E-3</v>
      </c>
      <c r="E58">
        <f>+(C58-C$7)/C$8</f>
        <v>22760.808894337868</v>
      </c>
      <c r="F58" s="52">
        <f>ROUND(2*E58,0)/2-0.5</f>
        <v>22760.5</v>
      </c>
      <c r="G58" s="13">
        <f>+C58-(C$7+F58*C$8)</f>
        <v>0.28772549999848707</v>
      </c>
      <c r="K58">
        <f>+G58</f>
        <v>0.28772549999848707</v>
      </c>
      <c r="O58">
        <f ca="1">+C$11+C$12*$F58</f>
        <v>0.28912685707211216</v>
      </c>
      <c r="Q58" s="2">
        <f>+C58-15018.5</f>
        <v>44442.880899999996</v>
      </c>
    </row>
    <row r="59" spans="1:17" x14ac:dyDescent="0.2">
      <c r="A59" s="72" t="s">
        <v>211</v>
      </c>
      <c r="B59" s="73" t="s">
        <v>33</v>
      </c>
      <c r="C59" s="75">
        <v>59730.5772</v>
      </c>
      <c r="D59" s="72">
        <v>3.5000000000000001E-3</v>
      </c>
      <c r="E59">
        <f>+(C59-C$7)/C$8</f>
        <v>23049.810782752837</v>
      </c>
      <c r="F59" s="76">
        <f>ROUND(2*E59,0)/2-0.5</f>
        <v>23049.5</v>
      </c>
      <c r="G59" s="13">
        <f>+C59-(C$7+F59*C$8)</f>
        <v>0.28948450000461889</v>
      </c>
      <c r="K59">
        <f>+G59</f>
        <v>0.28948450000461889</v>
      </c>
      <c r="O59">
        <f ca="1">+C$11+C$12*$F59</f>
        <v>0.29465633699398963</v>
      </c>
      <c r="Q59" s="2">
        <f>+C59-15018.5</f>
        <v>44712.0772</v>
      </c>
    </row>
    <row r="60" spans="1:17" x14ac:dyDescent="0.2">
      <c r="A60" s="72" t="s">
        <v>211</v>
      </c>
      <c r="B60" s="73" t="s">
        <v>33</v>
      </c>
      <c r="C60" s="75">
        <v>59806.492599999998</v>
      </c>
      <c r="D60" s="72">
        <v>3.5000000000000001E-3</v>
      </c>
      <c r="E60">
        <f>+(C60-C$7)/C$8</f>
        <v>23131.311509024992</v>
      </c>
      <c r="F60" s="76">
        <f>ROUND(2*E60,0)/2-0.5</f>
        <v>23131</v>
      </c>
      <c r="G60" s="13">
        <f>+C60-(C$7+F60*C$8)</f>
        <v>0.29016099999716971</v>
      </c>
      <c r="K60">
        <f>+G60</f>
        <v>0.29016099999716971</v>
      </c>
      <c r="O60">
        <f ca="1">+C$11+C$12*$F60</f>
        <v>0.2962156885982562</v>
      </c>
      <c r="Q60" s="2">
        <f>+C60-15018.5</f>
        <v>44787.992599999998</v>
      </c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</sheetData>
  <sortState xmlns:xlrd2="http://schemas.microsoft.com/office/spreadsheetml/2017/richdata2" ref="A21:R61">
    <sortCondition ref="C21:C61"/>
  </sortState>
  <phoneticPr fontId="7" type="noConversion"/>
  <hyperlinks>
    <hyperlink ref="H63785" r:id="rId1" display="http://vsolj.cetus-net.org/bulletin.html" xr:uid="{00000000-0004-0000-0000-000000000000}"/>
    <hyperlink ref="H63778" r:id="rId2" display="https://www.aavso.org/ejaavso" xr:uid="{00000000-0004-0000-0000-000001000000}"/>
    <hyperlink ref="I63785" r:id="rId3" display="http://vsolj.cetus-net.org/bulletin.html" xr:uid="{00000000-0004-0000-0000-000002000000}"/>
    <hyperlink ref="AQ57436" r:id="rId4" display="http://cdsbib.u-strasbg.fr/cgi-bin/cdsbib?1990RMxAA..21..381G" xr:uid="{00000000-0004-0000-0000-000003000000}"/>
    <hyperlink ref="H63782" r:id="rId5" display="https://www.aavso.org/ejaavso" xr:uid="{00000000-0004-0000-0000-000004000000}"/>
    <hyperlink ref="AP4800" r:id="rId6" display="http://cdsbib.u-strasbg.fr/cgi-bin/cdsbib?1990RMxAA..21..381G" xr:uid="{00000000-0004-0000-0000-000005000000}"/>
    <hyperlink ref="AP4803" r:id="rId7" display="http://cdsbib.u-strasbg.fr/cgi-bin/cdsbib?1990RMxAA..21..381G" xr:uid="{00000000-0004-0000-0000-000006000000}"/>
    <hyperlink ref="AP4801" r:id="rId8" display="http://cdsbib.u-strasbg.fr/cgi-bin/cdsbib?1990RMxAA..21..381G" xr:uid="{00000000-0004-0000-0000-000007000000}"/>
    <hyperlink ref="AP4785" r:id="rId9" display="http://cdsbib.u-strasbg.fr/cgi-bin/cdsbib?1990RMxAA..21..381G" xr:uid="{00000000-0004-0000-0000-000008000000}"/>
    <hyperlink ref="AQ5014" r:id="rId10" display="http://cdsbib.u-strasbg.fr/cgi-bin/cdsbib?1990RMxAA..21..381G" xr:uid="{00000000-0004-0000-0000-000009000000}"/>
    <hyperlink ref="AQ5018" r:id="rId11" display="http://cdsbib.u-strasbg.fr/cgi-bin/cdsbib?1990RMxAA..21..381G" xr:uid="{00000000-0004-0000-0000-00000A000000}"/>
    <hyperlink ref="AQ64698" r:id="rId12" display="http://cdsbib.u-strasbg.fr/cgi-bin/cdsbib?1990RMxAA..21..381G" xr:uid="{00000000-0004-0000-0000-00000B000000}"/>
    <hyperlink ref="I1906" r:id="rId13" display="http://vsolj.cetus-net.org/bulletin.html" xr:uid="{00000000-0004-0000-0000-00000C000000}"/>
    <hyperlink ref="H1906" r:id="rId14" display="http://vsolj.cetus-net.org/bulletin.html" xr:uid="{00000000-0004-0000-0000-00000D000000}"/>
    <hyperlink ref="AQ65359" r:id="rId15" display="http://cdsbib.u-strasbg.fr/cgi-bin/cdsbib?1990RMxAA..21..381G" xr:uid="{00000000-0004-0000-0000-00000E000000}"/>
    <hyperlink ref="AQ65358" r:id="rId16" display="http://cdsbib.u-strasbg.fr/cgi-bin/cdsbib?1990RMxAA..21..381G" xr:uid="{00000000-0004-0000-0000-00000F000000}"/>
    <hyperlink ref="AP3076" r:id="rId17" display="http://cdsbib.u-strasbg.fr/cgi-bin/cdsbib?1990RMxAA..21..381G" xr:uid="{00000000-0004-0000-0000-000010000000}"/>
    <hyperlink ref="AP3094" r:id="rId18" display="http://cdsbib.u-strasbg.fr/cgi-bin/cdsbib?1990RMxAA..21..381G" xr:uid="{00000000-0004-0000-0000-000011000000}"/>
    <hyperlink ref="AP3095" r:id="rId19" display="http://cdsbib.u-strasbg.fr/cgi-bin/cdsbib?1990RMxAA..21..381G" xr:uid="{00000000-0004-0000-0000-000012000000}"/>
    <hyperlink ref="AP30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2"/>
  <sheetViews>
    <sheetView workbookViewId="0">
      <selection activeCell="A34" sqref="A34:C38"/>
    </sheetView>
  </sheetViews>
  <sheetFormatPr defaultRowHeight="12.75" x14ac:dyDescent="0.2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3" t="s">
        <v>62</v>
      </c>
      <c r="I1" s="54" t="s">
        <v>63</v>
      </c>
      <c r="J1" s="55" t="s">
        <v>64</v>
      </c>
    </row>
    <row r="2" spans="1:16" x14ac:dyDescent="0.2">
      <c r="I2" s="56" t="s">
        <v>65</v>
      </c>
      <c r="J2" s="57" t="s">
        <v>66</v>
      </c>
    </row>
    <row r="3" spans="1:16" x14ac:dyDescent="0.2">
      <c r="A3" s="58" t="s">
        <v>67</v>
      </c>
      <c r="I3" s="56" t="s">
        <v>68</v>
      </c>
      <c r="J3" s="57" t="s">
        <v>69</v>
      </c>
    </row>
    <row r="4" spans="1:16" x14ac:dyDescent="0.2">
      <c r="I4" s="56" t="s">
        <v>70</v>
      </c>
      <c r="J4" s="57" t="s">
        <v>69</v>
      </c>
    </row>
    <row r="5" spans="1:16" ht="13.5" thickBot="1" x14ac:dyDescent="0.25">
      <c r="I5" s="59" t="s">
        <v>71</v>
      </c>
      <c r="J5" s="60" t="s">
        <v>72</v>
      </c>
    </row>
    <row r="10" spans="1:16" ht="13.5" thickBot="1" x14ac:dyDescent="0.25"/>
    <row r="11" spans="1:16" ht="12.75" customHeight="1" thickBot="1" x14ac:dyDescent="0.25">
      <c r="A11" s="13" t="str">
        <f t="shared" ref="A11:A38" si="0">P11</f>
        <v>IBVS 5745 </v>
      </c>
      <c r="B11" s="21" t="str">
        <f t="shared" ref="B11:B38" si="1">IF(H11=INT(H11),"I","II")</f>
        <v>I</v>
      </c>
      <c r="C11" s="13">
        <f t="shared" ref="C11:C38" si="2">1*G11</f>
        <v>50666.739099999999</v>
      </c>
      <c r="D11" s="19" t="str">
        <f t="shared" ref="D11:D38" si="3">VLOOKUP(F11,I$1:J$5,2,FALSE)</f>
        <v>vis</v>
      </c>
      <c r="E11" s="61">
        <f>VLOOKUP(C11,Active!C$21:E$971,3,FALSE)</f>
        <v>13319.118618010909</v>
      </c>
      <c r="F11" s="21" t="s">
        <v>71</v>
      </c>
      <c r="G11" s="19" t="str">
        <f t="shared" ref="G11:G38" si="4">MID(I11,3,LEN(I11)-3)</f>
        <v>50666.7391</v>
      </c>
      <c r="H11" s="13">
        <f t="shared" ref="H11:H38" si="5">1*K11</f>
        <v>13319</v>
      </c>
      <c r="I11" s="62" t="s">
        <v>73</v>
      </c>
      <c r="J11" s="63" t="s">
        <v>74</v>
      </c>
      <c r="K11" s="62">
        <v>13319</v>
      </c>
      <c r="L11" s="62" t="s">
        <v>75</v>
      </c>
      <c r="M11" s="63" t="s">
        <v>76</v>
      </c>
      <c r="N11" s="63" t="s">
        <v>77</v>
      </c>
      <c r="O11" s="64" t="s">
        <v>78</v>
      </c>
      <c r="P11" s="65" t="s">
        <v>79</v>
      </c>
    </row>
    <row r="12" spans="1:16" ht="12.75" customHeight="1" thickBot="1" x14ac:dyDescent="0.25">
      <c r="A12" s="13" t="str">
        <f t="shared" si="0"/>
        <v>IBVS 5745 </v>
      </c>
      <c r="B12" s="21" t="str">
        <f t="shared" si="1"/>
        <v>II</v>
      </c>
      <c r="C12" s="13">
        <f t="shared" si="2"/>
        <v>50672.793299999998</v>
      </c>
      <c r="D12" s="19" t="str">
        <f t="shared" si="3"/>
        <v>vis</v>
      </c>
      <c r="E12" s="61">
        <f>VLOOKUP(C12,Active!C$21:E$971,3,FALSE)</f>
        <v>13325.618243870704</v>
      </c>
      <c r="F12" s="21" t="s">
        <v>71</v>
      </c>
      <c r="G12" s="19" t="str">
        <f t="shared" si="4"/>
        <v>50672.7933</v>
      </c>
      <c r="H12" s="13">
        <f t="shared" si="5"/>
        <v>13325.5</v>
      </c>
      <c r="I12" s="62" t="s">
        <v>80</v>
      </c>
      <c r="J12" s="63" t="s">
        <v>81</v>
      </c>
      <c r="K12" s="62">
        <v>13325.5</v>
      </c>
      <c r="L12" s="62" t="s">
        <v>82</v>
      </c>
      <c r="M12" s="63" t="s">
        <v>76</v>
      </c>
      <c r="N12" s="63" t="s">
        <v>77</v>
      </c>
      <c r="O12" s="64" t="s">
        <v>78</v>
      </c>
      <c r="P12" s="65" t="s">
        <v>79</v>
      </c>
    </row>
    <row r="13" spans="1:16" ht="12.75" customHeight="1" thickBot="1" x14ac:dyDescent="0.25">
      <c r="A13" s="13" t="str">
        <f t="shared" si="0"/>
        <v>IBVS 5287 </v>
      </c>
      <c r="B13" s="21" t="str">
        <f t="shared" si="1"/>
        <v>I</v>
      </c>
      <c r="C13" s="13">
        <f t="shared" si="2"/>
        <v>51675.535199999998</v>
      </c>
      <c r="D13" s="19" t="str">
        <f t="shared" si="3"/>
        <v>vis</v>
      </c>
      <c r="E13" s="61">
        <f>VLOOKUP(C13,Active!C$21:E$971,3,FALSE)</f>
        <v>14402.134907334546</v>
      </c>
      <c r="F13" s="21" t="s">
        <v>71</v>
      </c>
      <c r="G13" s="19" t="str">
        <f t="shared" si="4"/>
        <v>51675.5352</v>
      </c>
      <c r="H13" s="13">
        <f t="shared" si="5"/>
        <v>14402</v>
      </c>
      <c r="I13" s="62" t="s">
        <v>83</v>
      </c>
      <c r="J13" s="63" t="s">
        <v>84</v>
      </c>
      <c r="K13" s="62">
        <v>14402</v>
      </c>
      <c r="L13" s="62" t="s">
        <v>85</v>
      </c>
      <c r="M13" s="63" t="s">
        <v>76</v>
      </c>
      <c r="N13" s="63" t="s">
        <v>86</v>
      </c>
      <c r="O13" s="64" t="s">
        <v>87</v>
      </c>
      <c r="P13" s="65" t="s">
        <v>88</v>
      </c>
    </row>
    <row r="14" spans="1:16" ht="12.75" customHeight="1" thickBot="1" x14ac:dyDescent="0.25">
      <c r="A14" s="13" t="str">
        <f t="shared" si="0"/>
        <v>IBVS 5583 </v>
      </c>
      <c r="B14" s="21" t="str">
        <f t="shared" si="1"/>
        <v>I</v>
      </c>
      <c r="C14" s="13">
        <f t="shared" si="2"/>
        <v>52138.489300000001</v>
      </c>
      <c r="D14" s="19" t="str">
        <f t="shared" si="3"/>
        <v>vis</v>
      </c>
      <c r="E14" s="61">
        <f>VLOOKUP(C14,Active!C$21:E$971,3,FALSE)</f>
        <v>14899.14994487203</v>
      </c>
      <c r="F14" s="21" t="s">
        <v>71</v>
      </c>
      <c r="G14" s="19" t="str">
        <f t="shared" si="4"/>
        <v>52138.4893</v>
      </c>
      <c r="H14" s="13">
        <f t="shared" si="5"/>
        <v>14899</v>
      </c>
      <c r="I14" s="62" t="s">
        <v>98</v>
      </c>
      <c r="J14" s="63" t="s">
        <v>99</v>
      </c>
      <c r="K14" s="62">
        <v>14899</v>
      </c>
      <c r="L14" s="62" t="s">
        <v>100</v>
      </c>
      <c r="M14" s="63" t="s">
        <v>76</v>
      </c>
      <c r="N14" s="63" t="s">
        <v>77</v>
      </c>
      <c r="O14" s="64" t="s">
        <v>87</v>
      </c>
      <c r="P14" s="65" t="s">
        <v>101</v>
      </c>
    </row>
    <row r="15" spans="1:16" ht="12.75" customHeight="1" thickBot="1" x14ac:dyDescent="0.25">
      <c r="A15" s="13" t="str">
        <f t="shared" si="0"/>
        <v>IBVS 5713 </v>
      </c>
      <c r="B15" s="21" t="str">
        <f t="shared" si="1"/>
        <v>I</v>
      </c>
      <c r="C15" s="13">
        <f t="shared" si="2"/>
        <v>53566.453600000001</v>
      </c>
      <c r="D15" s="19" t="str">
        <f t="shared" si="3"/>
        <v>vis</v>
      </c>
      <c r="E15" s="61">
        <f>VLOOKUP(C15,Active!C$21:E$971,3,FALSE)</f>
        <v>16432.173910242858</v>
      </c>
      <c r="F15" s="21" t="s">
        <v>71</v>
      </c>
      <c r="G15" s="19" t="str">
        <f t="shared" si="4"/>
        <v>53566.4536</v>
      </c>
      <c r="H15" s="13">
        <f t="shared" si="5"/>
        <v>16432</v>
      </c>
      <c r="I15" s="62" t="s">
        <v>102</v>
      </c>
      <c r="J15" s="63" t="s">
        <v>103</v>
      </c>
      <c r="K15" s="62">
        <v>16432</v>
      </c>
      <c r="L15" s="62" t="s">
        <v>104</v>
      </c>
      <c r="M15" s="63" t="s">
        <v>76</v>
      </c>
      <c r="N15" s="63" t="s">
        <v>77</v>
      </c>
      <c r="O15" s="64" t="s">
        <v>105</v>
      </c>
      <c r="P15" s="65" t="s">
        <v>106</v>
      </c>
    </row>
    <row r="16" spans="1:16" ht="12.75" customHeight="1" thickBot="1" x14ac:dyDescent="0.25">
      <c r="A16" s="13" t="str">
        <f t="shared" si="0"/>
        <v>BAVM 186 </v>
      </c>
      <c r="B16" s="21" t="str">
        <f t="shared" si="1"/>
        <v>I</v>
      </c>
      <c r="C16" s="13">
        <f t="shared" si="2"/>
        <v>54245.5069</v>
      </c>
      <c r="D16" s="19" t="str">
        <f t="shared" si="3"/>
        <v>vis</v>
      </c>
      <c r="E16" s="61">
        <f>VLOOKUP(C16,Active!C$21:E$971,3,FALSE)</f>
        <v>17161.187221474902</v>
      </c>
      <c r="F16" s="21" t="s">
        <v>71</v>
      </c>
      <c r="G16" s="19" t="str">
        <f t="shared" si="4"/>
        <v>54245.5069</v>
      </c>
      <c r="H16" s="13">
        <f t="shared" si="5"/>
        <v>17161</v>
      </c>
      <c r="I16" s="62" t="s">
        <v>113</v>
      </c>
      <c r="J16" s="63" t="s">
        <v>114</v>
      </c>
      <c r="K16" s="62">
        <v>17161</v>
      </c>
      <c r="L16" s="62" t="s">
        <v>115</v>
      </c>
      <c r="M16" s="63" t="s">
        <v>110</v>
      </c>
      <c r="N16" s="63" t="s">
        <v>116</v>
      </c>
      <c r="O16" s="64" t="s">
        <v>117</v>
      </c>
      <c r="P16" s="65" t="s">
        <v>118</v>
      </c>
    </row>
    <row r="17" spans="1:16" ht="12.75" customHeight="1" thickBot="1" x14ac:dyDescent="0.25">
      <c r="A17" s="13" t="str">
        <f t="shared" si="0"/>
        <v>IBVS 5945 </v>
      </c>
      <c r="B17" s="21" t="str">
        <f t="shared" si="1"/>
        <v>I</v>
      </c>
      <c r="C17" s="13">
        <f t="shared" si="2"/>
        <v>55342.807800000002</v>
      </c>
      <c r="D17" s="19" t="str">
        <f t="shared" si="3"/>
        <v>vis</v>
      </c>
      <c r="E17" s="61">
        <f>VLOOKUP(C17,Active!C$21:E$971,3,FALSE)</f>
        <v>18339.219877419437</v>
      </c>
      <c r="F17" s="21" t="s">
        <v>71</v>
      </c>
      <c r="G17" s="19" t="str">
        <f t="shared" si="4"/>
        <v>55342.8078</v>
      </c>
      <c r="H17" s="13">
        <f t="shared" si="5"/>
        <v>18339</v>
      </c>
      <c r="I17" s="62" t="s">
        <v>125</v>
      </c>
      <c r="J17" s="63" t="s">
        <v>126</v>
      </c>
      <c r="K17" s="62" t="s">
        <v>127</v>
      </c>
      <c r="L17" s="62" t="s">
        <v>128</v>
      </c>
      <c r="M17" s="63" t="s">
        <v>110</v>
      </c>
      <c r="N17" s="63" t="s">
        <v>71</v>
      </c>
      <c r="O17" s="64" t="s">
        <v>92</v>
      </c>
      <c r="P17" s="65" t="s">
        <v>129</v>
      </c>
    </row>
    <row r="18" spans="1:16" ht="12.75" customHeight="1" thickBot="1" x14ac:dyDescent="0.25">
      <c r="A18" s="13" t="str">
        <f t="shared" si="0"/>
        <v>BAVM 234 </v>
      </c>
      <c r="B18" s="21" t="str">
        <f t="shared" si="1"/>
        <v>II</v>
      </c>
      <c r="C18" s="13">
        <f t="shared" si="2"/>
        <v>55380.530599999998</v>
      </c>
      <c r="D18" s="19" t="str">
        <f t="shared" si="3"/>
        <v>vis</v>
      </c>
      <c r="E18" s="61">
        <f>VLOOKUP(C18,Active!C$21:E$971,3,FALSE)</f>
        <v>18379.718058249928</v>
      </c>
      <c r="F18" s="21" t="s">
        <v>71</v>
      </c>
      <c r="G18" s="19" t="str">
        <f t="shared" si="4"/>
        <v>55380.5306</v>
      </c>
      <c r="H18" s="13">
        <f t="shared" si="5"/>
        <v>18379.5</v>
      </c>
      <c r="I18" s="62" t="s">
        <v>135</v>
      </c>
      <c r="J18" s="63" t="s">
        <v>136</v>
      </c>
      <c r="K18" s="62" t="s">
        <v>137</v>
      </c>
      <c r="L18" s="62" t="s">
        <v>138</v>
      </c>
      <c r="M18" s="63" t="s">
        <v>110</v>
      </c>
      <c r="N18" s="63" t="s">
        <v>116</v>
      </c>
      <c r="O18" s="64" t="s">
        <v>123</v>
      </c>
      <c r="P18" s="65" t="s">
        <v>139</v>
      </c>
    </row>
    <row r="19" spans="1:16" ht="12.75" customHeight="1" thickBot="1" x14ac:dyDescent="0.25">
      <c r="A19" s="13" t="str">
        <f t="shared" si="0"/>
        <v>BAVM 234 </v>
      </c>
      <c r="B19" s="21" t="str">
        <f t="shared" si="1"/>
        <v>I</v>
      </c>
      <c r="C19" s="13">
        <f t="shared" si="2"/>
        <v>55387.519999999997</v>
      </c>
      <c r="D19" s="19" t="str">
        <f t="shared" si="3"/>
        <v>vis</v>
      </c>
      <c r="E19" s="61">
        <f>VLOOKUP(C19,Active!C$21:E$971,3,FALSE)</f>
        <v>18387.221689610713</v>
      </c>
      <c r="F19" s="21" t="s">
        <v>71</v>
      </c>
      <c r="G19" s="19" t="str">
        <f t="shared" si="4"/>
        <v>55387.52</v>
      </c>
      <c r="H19" s="13">
        <f t="shared" si="5"/>
        <v>18387</v>
      </c>
      <c r="I19" s="62" t="s">
        <v>140</v>
      </c>
      <c r="J19" s="63" t="s">
        <v>141</v>
      </c>
      <c r="K19" s="62" t="s">
        <v>142</v>
      </c>
      <c r="L19" s="62" t="s">
        <v>143</v>
      </c>
      <c r="M19" s="63" t="s">
        <v>110</v>
      </c>
      <c r="N19" s="63" t="s">
        <v>116</v>
      </c>
      <c r="O19" s="64" t="s">
        <v>123</v>
      </c>
      <c r="P19" s="65" t="s">
        <v>139</v>
      </c>
    </row>
    <row r="20" spans="1:16" ht="12.75" customHeight="1" thickBot="1" x14ac:dyDescent="0.25">
      <c r="A20" s="13" t="str">
        <f t="shared" si="0"/>
        <v>BAVM 215 </v>
      </c>
      <c r="B20" s="21" t="str">
        <f t="shared" si="1"/>
        <v>I</v>
      </c>
      <c r="C20" s="13">
        <f t="shared" si="2"/>
        <v>55387.5213</v>
      </c>
      <c r="D20" s="19" t="str">
        <f t="shared" si="3"/>
        <v>vis</v>
      </c>
      <c r="E20" s="61">
        <f>VLOOKUP(C20,Active!C$21:E$971,3,FALSE)</f>
        <v>18387.22308525566</v>
      </c>
      <c r="F20" s="21" t="s">
        <v>71</v>
      </c>
      <c r="G20" s="19" t="str">
        <f t="shared" si="4"/>
        <v>55387.5213</v>
      </c>
      <c r="H20" s="13">
        <f t="shared" si="5"/>
        <v>18387</v>
      </c>
      <c r="I20" s="62" t="s">
        <v>144</v>
      </c>
      <c r="J20" s="63" t="s">
        <v>145</v>
      </c>
      <c r="K20" s="62" t="s">
        <v>142</v>
      </c>
      <c r="L20" s="62" t="s">
        <v>146</v>
      </c>
      <c r="M20" s="63" t="s">
        <v>110</v>
      </c>
      <c r="N20" s="63" t="s">
        <v>116</v>
      </c>
      <c r="O20" s="64" t="s">
        <v>117</v>
      </c>
      <c r="P20" s="65" t="s">
        <v>147</v>
      </c>
    </row>
    <row r="21" spans="1:16" ht="12.75" customHeight="1" thickBot="1" x14ac:dyDescent="0.25">
      <c r="A21" s="13" t="str">
        <f t="shared" si="0"/>
        <v>BAVM 234 </v>
      </c>
      <c r="B21" s="21" t="str">
        <f t="shared" si="1"/>
        <v>II</v>
      </c>
      <c r="C21" s="13">
        <f t="shared" si="2"/>
        <v>55409.412100000001</v>
      </c>
      <c r="D21" s="19" t="str">
        <f t="shared" si="3"/>
        <v>vis</v>
      </c>
      <c r="E21" s="61">
        <f>VLOOKUP(C21,Active!C$21:E$971,3,FALSE)</f>
        <v>18410.724457818786</v>
      </c>
      <c r="F21" s="21" t="s">
        <v>71</v>
      </c>
      <c r="G21" s="19" t="str">
        <f t="shared" si="4"/>
        <v>55409.4121</v>
      </c>
      <c r="H21" s="13">
        <f t="shared" si="5"/>
        <v>18410.5</v>
      </c>
      <c r="I21" s="62" t="s">
        <v>148</v>
      </c>
      <c r="J21" s="63" t="s">
        <v>149</v>
      </c>
      <c r="K21" s="62" t="s">
        <v>150</v>
      </c>
      <c r="L21" s="62" t="s">
        <v>151</v>
      </c>
      <c r="M21" s="63" t="s">
        <v>110</v>
      </c>
      <c r="N21" s="63" t="s">
        <v>116</v>
      </c>
      <c r="O21" s="64" t="s">
        <v>123</v>
      </c>
      <c r="P21" s="65" t="s">
        <v>139</v>
      </c>
    </row>
    <row r="22" spans="1:16" ht="12.75" customHeight="1" thickBot="1" x14ac:dyDescent="0.25">
      <c r="A22" s="13" t="str">
        <f t="shared" si="0"/>
        <v>BAVM 215 </v>
      </c>
      <c r="B22" s="21" t="str">
        <f t="shared" si="1"/>
        <v>I</v>
      </c>
      <c r="C22" s="13">
        <f t="shared" si="2"/>
        <v>55429.438499999997</v>
      </c>
      <c r="D22" s="19" t="str">
        <f t="shared" si="3"/>
        <v>vis</v>
      </c>
      <c r="E22" s="61">
        <f>VLOOKUP(C22,Active!C$21:E$971,3,FALSE)</f>
        <v>18432.224260818126</v>
      </c>
      <c r="F22" s="21" t="s">
        <v>71</v>
      </c>
      <c r="G22" s="19" t="str">
        <f t="shared" si="4"/>
        <v>55429.4385</v>
      </c>
      <c r="H22" s="13">
        <f t="shared" si="5"/>
        <v>18432</v>
      </c>
      <c r="I22" s="62" t="s">
        <v>152</v>
      </c>
      <c r="J22" s="63" t="s">
        <v>153</v>
      </c>
      <c r="K22" s="62" t="s">
        <v>154</v>
      </c>
      <c r="L22" s="62" t="s">
        <v>155</v>
      </c>
      <c r="M22" s="63" t="s">
        <v>110</v>
      </c>
      <c r="N22" s="63" t="s">
        <v>156</v>
      </c>
      <c r="O22" s="64" t="s">
        <v>123</v>
      </c>
      <c r="P22" s="65" t="s">
        <v>147</v>
      </c>
    </row>
    <row r="23" spans="1:16" ht="12.75" customHeight="1" thickBot="1" x14ac:dyDescent="0.25">
      <c r="A23" s="13" t="str">
        <f t="shared" si="0"/>
        <v>BAVM 215 </v>
      </c>
      <c r="B23" s="21" t="str">
        <f t="shared" si="1"/>
        <v>I</v>
      </c>
      <c r="C23" s="13">
        <f t="shared" si="2"/>
        <v>55430.369599999998</v>
      </c>
      <c r="D23" s="19" t="str">
        <f t="shared" si="3"/>
        <v>vis</v>
      </c>
      <c r="E23" s="61">
        <f>VLOOKUP(C23,Active!C$21:E$971,3,FALSE)</f>
        <v>18433.223864669679</v>
      </c>
      <c r="F23" s="21" t="s">
        <v>71</v>
      </c>
      <c r="G23" s="19" t="str">
        <f t="shared" si="4"/>
        <v>55430.3696</v>
      </c>
      <c r="H23" s="13">
        <f t="shared" si="5"/>
        <v>18433</v>
      </c>
      <c r="I23" s="62" t="s">
        <v>157</v>
      </c>
      <c r="J23" s="63" t="s">
        <v>158</v>
      </c>
      <c r="K23" s="62" t="s">
        <v>159</v>
      </c>
      <c r="L23" s="62" t="s">
        <v>160</v>
      </c>
      <c r="M23" s="63" t="s">
        <v>110</v>
      </c>
      <c r="N23" s="63" t="s">
        <v>116</v>
      </c>
      <c r="O23" s="64" t="s">
        <v>117</v>
      </c>
      <c r="P23" s="65" t="s">
        <v>147</v>
      </c>
    </row>
    <row r="24" spans="1:16" ht="12.75" customHeight="1" thickBot="1" x14ac:dyDescent="0.25">
      <c r="A24" s="13" t="str">
        <f t="shared" si="0"/>
        <v>IBVS 6007 </v>
      </c>
      <c r="B24" s="21" t="str">
        <f t="shared" si="1"/>
        <v>I</v>
      </c>
      <c r="C24" s="13">
        <f t="shared" si="2"/>
        <v>55616.66689</v>
      </c>
      <c r="D24" s="19" t="str">
        <f t="shared" si="3"/>
        <v>vis</v>
      </c>
      <c r="E24" s="61">
        <f>VLOOKUP(C24,Active!C$21:E$971,3,FALSE)</f>
        <v>18633.227611439568</v>
      </c>
      <c r="F24" s="21" t="s">
        <v>71</v>
      </c>
      <c r="G24" s="19" t="str">
        <f t="shared" si="4"/>
        <v>55616.66689</v>
      </c>
      <c r="H24" s="13">
        <f t="shared" si="5"/>
        <v>18633</v>
      </c>
      <c r="I24" s="62" t="s">
        <v>161</v>
      </c>
      <c r="J24" s="63" t="s">
        <v>162</v>
      </c>
      <c r="K24" s="62" t="s">
        <v>163</v>
      </c>
      <c r="L24" s="62" t="s">
        <v>164</v>
      </c>
      <c r="M24" s="63" t="s">
        <v>110</v>
      </c>
      <c r="N24" s="63" t="s">
        <v>86</v>
      </c>
      <c r="O24" s="64" t="s">
        <v>165</v>
      </c>
      <c r="P24" s="65" t="s">
        <v>166</v>
      </c>
    </row>
    <row r="25" spans="1:16" ht="12.75" customHeight="1" thickBot="1" x14ac:dyDescent="0.25">
      <c r="A25" s="13" t="str">
        <f t="shared" si="0"/>
        <v>BAVM 220 </v>
      </c>
      <c r="B25" s="21" t="str">
        <f t="shared" si="1"/>
        <v>I</v>
      </c>
      <c r="C25" s="13">
        <f t="shared" si="2"/>
        <v>55700.501300000004</v>
      </c>
      <c r="D25" s="19" t="str">
        <f t="shared" si="3"/>
        <v>vis</v>
      </c>
      <c r="E25" s="61">
        <f>VLOOKUP(C25,Active!C$21:E$971,3,FALSE)</f>
        <v>18723.229973300247</v>
      </c>
      <c r="F25" s="21" t="s">
        <v>71</v>
      </c>
      <c r="G25" s="19" t="str">
        <f t="shared" si="4"/>
        <v>55700.5013</v>
      </c>
      <c r="H25" s="13">
        <f t="shared" si="5"/>
        <v>18723</v>
      </c>
      <c r="I25" s="62" t="s">
        <v>167</v>
      </c>
      <c r="J25" s="63" t="s">
        <v>168</v>
      </c>
      <c r="K25" s="62" t="s">
        <v>169</v>
      </c>
      <c r="L25" s="62" t="s">
        <v>170</v>
      </c>
      <c r="M25" s="63" t="s">
        <v>110</v>
      </c>
      <c r="N25" s="63" t="s">
        <v>116</v>
      </c>
      <c r="O25" s="64" t="s">
        <v>117</v>
      </c>
      <c r="P25" s="65" t="s">
        <v>171</v>
      </c>
    </row>
    <row r="26" spans="1:16" ht="12.75" customHeight="1" thickBot="1" x14ac:dyDescent="0.25">
      <c r="A26" s="13" t="str">
        <f t="shared" si="0"/>
        <v>BAVM 220 </v>
      </c>
      <c r="B26" s="21" t="str">
        <f t="shared" si="1"/>
        <v>II</v>
      </c>
      <c r="C26" s="13">
        <f t="shared" si="2"/>
        <v>55707.487000000001</v>
      </c>
      <c r="D26" s="19" t="str">
        <f t="shared" si="3"/>
        <v>vis</v>
      </c>
      <c r="E26" s="61">
        <f>VLOOKUP(C26,Active!C$21:E$971,3,FALSE)</f>
        <v>18730.729632440805</v>
      </c>
      <c r="F26" s="21" t="s">
        <v>71</v>
      </c>
      <c r="G26" s="19" t="str">
        <f t="shared" si="4"/>
        <v>55707.4870</v>
      </c>
      <c r="H26" s="13">
        <f t="shared" si="5"/>
        <v>18730.5</v>
      </c>
      <c r="I26" s="62" t="s">
        <v>172</v>
      </c>
      <c r="J26" s="63" t="s">
        <v>173</v>
      </c>
      <c r="K26" s="62" t="s">
        <v>174</v>
      </c>
      <c r="L26" s="62" t="s">
        <v>175</v>
      </c>
      <c r="M26" s="63" t="s">
        <v>110</v>
      </c>
      <c r="N26" s="63" t="s">
        <v>116</v>
      </c>
      <c r="O26" s="64" t="s">
        <v>117</v>
      </c>
      <c r="P26" s="65" t="s">
        <v>171</v>
      </c>
    </row>
    <row r="27" spans="1:16" ht="12.75" customHeight="1" thickBot="1" x14ac:dyDescent="0.25">
      <c r="A27" s="13" t="str">
        <f t="shared" si="0"/>
        <v>IBVS 5992 </v>
      </c>
      <c r="B27" s="21" t="str">
        <f t="shared" si="1"/>
        <v>I</v>
      </c>
      <c r="C27" s="13">
        <f t="shared" si="2"/>
        <v>55710.750699999997</v>
      </c>
      <c r="D27" s="19" t="str">
        <f t="shared" si="3"/>
        <v>vis</v>
      </c>
      <c r="E27" s="61">
        <f>VLOOKUP(C27,Active!C$21:E$971,3,FALSE)</f>
        <v>18734.233452750443</v>
      </c>
      <c r="F27" s="21" t="s">
        <v>71</v>
      </c>
      <c r="G27" s="19" t="str">
        <f t="shared" si="4"/>
        <v>55710.7507</v>
      </c>
      <c r="H27" s="13">
        <f t="shared" si="5"/>
        <v>18734</v>
      </c>
      <c r="I27" s="62" t="s">
        <v>176</v>
      </c>
      <c r="J27" s="63" t="s">
        <v>177</v>
      </c>
      <c r="K27" s="62" t="s">
        <v>178</v>
      </c>
      <c r="L27" s="62" t="s">
        <v>179</v>
      </c>
      <c r="M27" s="63" t="s">
        <v>110</v>
      </c>
      <c r="N27" s="63" t="s">
        <v>71</v>
      </c>
      <c r="O27" s="64" t="s">
        <v>92</v>
      </c>
      <c r="P27" s="65" t="s">
        <v>180</v>
      </c>
    </row>
    <row r="28" spans="1:16" ht="12.75" customHeight="1" thickBot="1" x14ac:dyDescent="0.25">
      <c r="A28" s="13" t="str">
        <f t="shared" si="0"/>
        <v>OEJV 0160 </v>
      </c>
      <c r="B28" s="21" t="str">
        <f t="shared" si="1"/>
        <v>II</v>
      </c>
      <c r="C28" s="13">
        <f t="shared" si="2"/>
        <v>56102.437129999998</v>
      </c>
      <c r="D28" s="19" t="str">
        <f t="shared" si="3"/>
        <v>vis</v>
      </c>
      <c r="E28" s="61">
        <f>VLOOKUP(C28,Active!C$21:E$971,3,FALSE)</f>
        <v>19154.737441611051</v>
      </c>
      <c r="F28" s="21" t="s">
        <v>71</v>
      </c>
      <c r="G28" s="19" t="str">
        <f t="shared" si="4"/>
        <v>56102.43713</v>
      </c>
      <c r="H28" s="13">
        <f t="shared" si="5"/>
        <v>19154.5</v>
      </c>
      <c r="I28" s="62" t="s">
        <v>181</v>
      </c>
      <c r="J28" s="63" t="s">
        <v>182</v>
      </c>
      <c r="K28" s="62" t="s">
        <v>183</v>
      </c>
      <c r="L28" s="62" t="s">
        <v>184</v>
      </c>
      <c r="M28" s="63" t="s">
        <v>110</v>
      </c>
      <c r="N28" s="63" t="s">
        <v>63</v>
      </c>
      <c r="O28" s="64" t="s">
        <v>185</v>
      </c>
      <c r="P28" s="65" t="s">
        <v>186</v>
      </c>
    </row>
    <row r="29" spans="1:16" ht="12.75" customHeight="1" thickBot="1" x14ac:dyDescent="0.25">
      <c r="A29" s="13" t="str">
        <f t="shared" si="0"/>
        <v>BAVM 234 </v>
      </c>
      <c r="B29" s="21" t="str">
        <f t="shared" si="1"/>
        <v>I</v>
      </c>
      <c r="C29" s="13">
        <f t="shared" si="2"/>
        <v>56136.435299999997</v>
      </c>
      <c r="D29" s="19" t="str">
        <f t="shared" si="3"/>
        <v>vis</v>
      </c>
      <c r="E29" s="61">
        <f>VLOOKUP(C29,Active!C$21:E$971,3,FALSE)</f>
        <v>19191.236960113543</v>
      </c>
      <c r="F29" s="21" t="s">
        <v>71</v>
      </c>
      <c r="G29" s="19" t="str">
        <f t="shared" si="4"/>
        <v>56136.4353</v>
      </c>
      <c r="H29" s="13">
        <f t="shared" si="5"/>
        <v>19191</v>
      </c>
      <c r="I29" s="62" t="s">
        <v>187</v>
      </c>
      <c r="J29" s="63" t="s">
        <v>188</v>
      </c>
      <c r="K29" s="62" t="s">
        <v>189</v>
      </c>
      <c r="L29" s="62" t="s">
        <v>190</v>
      </c>
      <c r="M29" s="63" t="s">
        <v>110</v>
      </c>
      <c r="N29" s="63" t="s">
        <v>116</v>
      </c>
      <c r="O29" s="64" t="s">
        <v>123</v>
      </c>
      <c r="P29" s="65" t="s">
        <v>139</v>
      </c>
    </row>
    <row r="30" spans="1:16" ht="12.75" customHeight="1" thickBot="1" x14ac:dyDescent="0.25">
      <c r="A30" s="13" t="str">
        <f t="shared" si="0"/>
        <v>OEJV 0160 </v>
      </c>
      <c r="B30" s="21" t="str">
        <f t="shared" si="1"/>
        <v>I</v>
      </c>
      <c r="C30" s="13">
        <f t="shared" si="2"/>
        <v>56275.226320000002</v>
      </c>
      <c r="D30" s="19" t="str">
        <f t="shared" si="3"/>
        <v>vis</v>
      </c>
      <c r="E30" s="61">
        <f>VLOOKUP(C30,Active!C$21:E$971,3,FALSE)</f>
        <v>19340.239256486264</v>
      </c>
      <c r="F30" s="21" t="s">
        <v>71</v>
      </c>
      <c r="G30" s="19" t="str">
        <f t="shared" si="4"/>
        <v>56275.22632</v>
      </c>
      <c r="H30" s="13">
        <f t="shared" si="5"/>
        <v>19340</v>
      </c>
      <c r="I30" s="62" t="s">
        <v>191</v>
      </c>
      <c r="J30" s="63" t="s">
        <v>192</v>
      </c>
      <c r="K30" s="62" t="s">
        <v>193</v>
      </c>
      <c r="L30" s="62" t="s">
        <v>194</v>
      </c>
      <c r="M30" s="63" t="s">
        <v>110</v>
      </c>
      <c r="N30" s="63" t="s">
        <v>86</v>
      </c>
      <c r="O30" s="64" t="s">
        <v>185</v>
      </c>
      <c r="P30" s="65" t="s">
        <v>186</v>
      </c>
    </row>
    <row r="31" spans="1:16" ht="12.75" customHeight="1" thickBot="1" x14ac:dyDescent="0.25">
      <c r="A31" s="13" t="str">
        <f t="shared" si="0"/>
        <v>BAVM 234 </v>
      </c>
      <c r="B31" s="21" t="str">
        <f t="shared" si="1"/>
        <v>II</v>
      </c>
      <c r="C31" s="13">
        <f t="shared" si="2"/>
        <v>56579.3557</v>
      </c>
      <c r="D31" s="19" t="str">
        <f t="shared" si="3"/>
        <v>vis</v>
      </c>
      <c r="E31" s="61">
        <f>VLOOKUP(C31,Active!C$21:E$971,3,FALSE)</f>
        <v>19666.744357568532</v>
      </c>
      <c r="F31" s="21" t="s">
        <v>71</v>
      </c>
      <c r="G31" s="19" t="str">
        <f t="shared" si="4"/>
        <v>56579.3557</v>
      </c>
      <c r="H31" s="13">
        <f t="shared" si="5"/>
        <v>19666.5</v>
      </c>
      <c r="I31" s="62" t="s">
        <v>195</v>
      </c>
      <c r="J31" s="63" t="s">
        <v>196</v>
      </c>
      <c r="K31" s="62" t="s">
        <v>197</v>
      </c>
      <c r="L31" s="62" t="s">
        <v>198</v>
      </c>
      <c r="M31" s="63" t="s">
        <v>110</v>
      </c>
      <c r="N31" s="63" t="s">
        <v>116</v>
      </c>
      <c r="O31" s="64" t="s">
        <v>123</v>
      </c>
      <c r="P31" s="65" t="s">
        <v>139</v>
      </c>
    </row>
    <row r="32" spans="1:16" ht="12.75" customHeight="1" thickBot="1" x14ac:dyDescent="0.25">
      <c r="A32" s="13" t="str">
        <f t="shared" si="0"/>
        <v>BAVM 238 </v>
      </c>
      <c r="B32" s="21" t="str">
        <f t="shared" si="1"/>
        <v>I</v>
      </c>
      <c r="C32" s="13">
        <f t="shared" si="2"/>
        <v>56897.465300000003</v>
      </c>
      <c r="D32" s="19" t="str">
        <f t="shared" si="3"/>
        <v>vis</v>
      </c>
      <c r="E32" s="61">
        <f>VLOOKUP(C32,Active!C$21:E$971,3,FALSE)</f>
        <v>20008.258245846086</v>
      </c>
      <c r="F32" s="21" t="s">
        <v>71</v>
      </c>
      <c r="G32" s="19" t="str">
        <f t="shared" si="4"/>
        <v>56897.4653</v>
      </c>
      <c r="H32" s="13">
        <f t="shared" si="5"/>
        <v>20008</v>
      </c>
      <c r="I32" s="62" t="s">
        <v>199</v>
      </c>
      <c r="J32" s="63" t="s">
        <v>200</v>
      </c>
      <c r="K32" s="62" t="s">
        <v>201</v>
      </c>
      <c r="L32" s="62" t="s">
        <v>202</v>
      </c>
      <c r="M32" s="63" t="s">
        <v>110</v>
      </c>
      <c r="N32" s="63" t="s">
        <v>116</v>
      </c>
      <c r="O32" s="64" t="s">
        <v>117</v>
      </c>
      <c r="P32" s="65" t="s">
        <v>203</v>
      </c>
    </row>
    <row r="33" spans="1:16" ht="12.75" customHeight="1" thickBot="1" x14ac:dyDescent="0.25">
      <c r="A33" s="13" t="str">
        <f t="shared" si="0"/>
        <v>BAVM 239 </v>
      </c>
      <c r="B33" s="21" t="str">
        <f t="shared" si="1"/>
        <v>II</v>
      </c>
      <c r="C33" s="13">
        <f t="shared" si="2"/>
        <v>56918.425499999998</v>
      </c>
      <c r="D33" s="19" t="str">
        <f t="shared" si="3"/>
        <v>vis</v>
      </c>
      <c r="E33" s="61">
        <f>VLOOKUP(C33,Active!C$21:E$971,3,FALSE)</f>
        <v>20030.760551344167</v>
      </c>
      <c r="F33" s="21" t="s">
        <v>71</v>
      </c>
      <c r="G33" s="19" t="str">
        <f t="shared" si="4"/>
        <v>56918.4255</v>
      </c>
      <c r="H33" s="13">
        <f t="shared" si="5"/>
        <v>20030.5</v>
      </c>
      <c r="I33" s="62" t="s">
        <v>204</v>
      </c>
      <c r="J33" s="63" t="s">
        <v>205</v>
      </c>
      <c r="K33" s="62" t="s">
        <v>206</v>
      </c>
      <c r="L33" s="62" t="s">
        <v>207</v>
      </c>
      <c r="M33" s="63" t="s">
        <v>110</v>
      </c>
      <c r="N33" s="63" t="s">
        <v>116</v>
      </c>
      <c r="O33" s="64" t="s">
        <v>123</v>
      </c>
      <c r="P33" s="65" t="s">
        <v>208</v>
      </c>
    </row>
    <row r="34" spans="1:16" ht="12.75" customHeight="1" thickBot="1" x14ac:dyDescent="0.25">
      <c r="A34" s="13" t="str">
        <f t="shared" si="0"/>
        <v> BBS 123 </v>
      </c>
      <c r="B34" s="21" t="str">
        <f t="shared" si="1"/>
        <v>I</v>
      </c>
      <c r="C34" s="13">
        <f t="shared" si="2"/>
        <v>51757.504999999997</v>
      </c>
      <c r="D34" s="19" t="str">
        <f t="shared" si="3"/>
        <v>vis</v>
      </c>
      <c r="E34" s="61">
        <f>VLOOKUP(C34,Active!C$21:E$971,3,FALSE)</f>
        <v>14490.135474181106</v>
      </c>
      <c r="F34" s="21" t="s">
        <v>71</v>
      </c>
      <c r="G34" s="19" t="str">
        <f t="shared" si="4"/>
        <v>51757.505</v>
      </c>
      <c r="H34" s="13">
        <f t="shared" si="5"/>
        <v>14490</v>
      </c>
      <c r="I34" s="62" t="s">
        <v>89</v>
      </c>
      <c r="J34" s="63" t="s">
        <v>90</v>
      </c>
      <c r="K34" s="62">
        <v>14490</v>
      </c>
      <c r="L34" s="62" t="s">
        <v>91</v>
      </c>
      <c r="M34" s="63" t="s">
        <v>76</v>
      </c>
      <c r="N34" s="63" t="s">
        <v>77</v>
      </c>
      <c r="O34" s="64" t="s">
        <v>92</v>
      </c>
      <c r="P34" s="64" t="s">
        <v>93</v>
      </c>
    </row>
    <row r="35" spans="1:16" ht="12.75" customHeight="1" thickBot="1" x14ac:dyDescent="0.25">
      <c r="A35" s="13" t="str">
        <f t="shared" si="0"/>
        <v> BBS 125 </v>
      </c>
      <c r="B35" s="21" t="str">
        <f t="shared" si="1"/>
        <v>I</v>
      </c>
      <c r="C35" s="13">
        <f t="shared" si="2"/>
        <v>52084.462399999997</v>
      </c>
      <c r="D35" s="19" t="str">
        <f t="shared" si="3"/>
        <v>vis</v>
      </c>
      <c r="E35" s="61">
        <f>VLOOKUP(C35,Active!C$21:E$971,3,FALSE)</f>
        <v>14841.148121945014</v>
      </c>
      <c r="F35" s="21" t="s">
        <v>71</v>
      </c>
      <c r="G35" s="19" t="str">
        <f t="shared" si="4"/>
        <v>52084.4624</v>
      </c>
      <c r="H35" s="13">
        <f t="shared" si="5"/>
        <v>14841</v>
      </c>
      <c r="I35" s="62" t="s">
        <v>94</v>
      </c>
      <c r="J35" s="63" t="s">
        <v>95</v>
      </c>
      <c r="K35" s="62">
        <v>14841</v>
      </c>
      <c r="L35" s="62" t="s">
        <v>96</v>
      </c>
      <c r="M35" s="63" t="s">
        <v>76</v>
      </c>
      <c r="N35" s="63" t="s">
        <v>77</v>
      </c>
      <c r="O35" s="64" t="s">
        <v>92</v>
      </c>
      <c r="P35" s="64" t="s">
        <v>97</v>
      </c>
    </row>
    <row r="36" spans="1:16" ht="12.75" customHeight="1" thickBot="1" x14ac:dyDescent="0.25">
      <c r="A36" s="13" t="str">
        <f t="shared" si="0"/>
        <v>OEJV 0107 </v>
      </c>
      <c r="B36" s="21" t="str">
        <f t="shared" si="1"/>
        <v>I</v>
      </c>
      <c r="C36" s="13">
        <f t="shared" si="2"/>
        <v>54217.563300000002</v>
      </c>
      <c r="D36" s="19" t="str">
        <f t="shared" si="3"/>
        <v>vis</v>
      </c>
      <c r="E36" s="61" t="e">
        <f>VLOOKUP(C36,Active!C$21:E$971,3,FALSE)</f>
        <v>#N/A</v>
      </c>
      <c r="F36" s="21" t="s">
        <v>71</v>
      </c>
      <c r="G36" s="19" t="str">
        <f t="shared" si="4"/>
        <v>54217.5633</v>
      </c>
      <c r="H36" s="13">
        <f t="shared" si="5"/>
        <v>17131</v>
      </c>
      <c r="I36" s="62" t="s">
        <v>107</v>
      </c>
      <c r="J36" s="63" t="s">
        <v>108</v>
      </c>
      <c r="K36" s="62">
        <v>17131</v>
      </c>
      <c r="L36" s="62" t="s">
        <v>109</v>
      </c>
      <c r="M36" s="63" t="s">
        <v>110</v>
      </c>
      <c r="N36" s="63" t="s">
        <v>86</v>
      </c>
      <c r="O36" s="64" t="s">
        <v>111</v>
      </c>
      <c r="P36" s="65" t="s">
        <v>112</v>
      </c>
    </row>
    <row r="37" spans="1:16" ht="12.75" customHeight="1" thickBot="1" x14ac:dyDescent="0.25">
      <c r="A37" s="13" t="str">
        <f t="shared" si="0"/>
        <v>BAVM 212 </v>
      </c>
      <c r="B37" s="21" t="str">
        <f t="shared" si="1"/>
        <v>I</v>
      </c>
      <c r="C37" s="13">
        <f t="shared" si="2"/>
        <v>55074.538099999998</v>
      </c>
      <c r="D37" s="19" t="str">
        <f t="shared" si="3"/>
        <v>vis</v>
      </c>
      <c r="E37" s="61">
        <f>VLOOKUP(C37,Active!C$21:E$971,3,FALSE)</f>
        <v>18051.212761777366</v>
      </c>
      <c r="F37" s="21" t="s">
        <v>71</v>
      </c>
      <c r="G37" s="19" t="str">
        <f t="shared" si="4"/>
        <v>55074.5381</v>
      </c>
      <c r="H37" s="13">
        <f t="shared" si="5"/>
        <v>18051</v>
      </c>
      <c r="I37" s="62" t="s">
        <v>119</v>
      </c>
      <c r="J37" s="63" t="s">
        <v>120</v>
      </c>
      <c r="K37" s="62" t="s">
        <v>121</v>
      </c>
      <c r="L37" s="62" t="s">
        <v>122</v>
      </c>
      <c r="M37" s="63" t="s">
        <v>110</v>
      </c>
      <c r="N37" s="63" t="s">
        <v>116</v>
      </c>
      <c r="O37" s="64" t="s">
        <v>123</v>
      </c>
      <c r="P37" s="65" t="s">
        <v>124</v>
      </c>
    </row>
    <row r="38" spans="1:16" ht="12.75" customHeight="1" thickBot="1" x14ac:dyDescent="0.25">
      <c r="A38" s="13" t="str">
        <f t="shared" si="0"/>
        <v>OEJV 0137 </v>
      </c>
      <c r="B38" s="21" t="str">
        <f t="shared" si="1"/>
        <v>I</v>
      </c>
      <c r="C38" s="13">
        <f t="shared" si="2"/>
        <v>55375.4107</v>
      </c>
      <c r="D38" s="19" t="str">
        <f t="shared" si="3"/>
        <v>vis</v>
      </c>
      <c r="E38" s="61" t="e">
        <f>VLOOKUP(C38,Active!C$21:E$971,3,FALSE)</f>
        <v>#N/A</v>
      </c>
      <c r="F38" s="21" t="s">
        <v>71</v>
      </c>
      <c r="G38" s="19" t="str">
        <f t="shared" si="4"/>
        <v>55375.4107</v>
      </c>
      <c r="H38" s="13">
        <f t="shared" si="5"/>
        <v>18374</v>
      </c>
      <c r="I38" s="62" t="s">
        <v>130</v>
      </c>
      <c r="J38" s="63" t="s">
        <v>131</v>
      </c>
      <c r="K38" s="62" t="s">
        <v>132</v>
      </c>
      <c r="L38" s="62" t="s">
        <v>133</v>
      </c>
      <c r="M38" s="63" t="s">
        <v>110</v>
      </c>
      <c r="N38" s="63" t="s">
        <v>86</v>
      </c>
      <c r="O38" s="64" t="s">
        <v>111</v>
      </c>
      <c r="P38" s="65" t="s">
        <v>134</v>
      </c>
    </row>
    <row r="39" spans="1:16" x14ac:dyDescent="0.2">
      <c r="B39" s="21"/>
      <c r="E39" s="61"/>
      <c r="F39" s="21"/>
    </row>
    <row r="40" spans="1:16" x14ac:dyDescent="0.2">
      <c r="B40" s="21"/>
      <c r="E40" s="61"/>
      <c r="F40" s="21"/>
    </row>
    <row r="41" spans="1:16" x14ac:dyDescent="0.2">
      <c r="B41" s="21"/>
      <c r="E41" s="61"/>
      <c r="F41" s="21"/>
    </row>
    <row r="42" spans="1:16" x14ac:dyDescent="0.2">
      <c r="B42" s="21"/>
      <c r="E42" s="61"/>
      <c r="F42" s="21"/>
    </row>
    <row r="43" spans="1:16" x14ac:dyDescent="0.2">
      <c r="B43" s="21"/>
      <c r="E43" s="61"/>
      <c r="F43" s="21"/>
    </row>
    <row r="44" spans="1:16" x14ac:dyDescent="0.2">
      <c r="B44" s="21"/>
      <c r="E44" s="61"/>
      <c r="F44" s="21"/>
    </row>
    <row r="45" spans="1:16" x14ac:dyDescent="0.2">
      <c r="B45" s="21"/>
      <c r="E45" s="61"/>
      <c r="F45" s="21"/>
    </row>
    <row r="46" spans="1:16" x14ac:dyDescent="0.2">
      <c r="B46" s="21"/>
      <c r="E46" s="61"/>
      <c r="F46" s="21"/>
    </row>
    <row r="47" spans="1:16" x14ac:dyDescent="0.2">
      <c r="B47" s="21"/>
      <c r="E47" s="61"/>
      <c r="F47" s="21"/>
    </row>
    <row r="48" spans="1:16" x14ac:dyDescent="0.2">
      <c r="B48" s="21"/>
      <c r="E48" s="61"/>
      <c r="F48" s="21"/>
    </row>
    <row r="49" spans="2:6" x14ac:dyDescent="0.2">
      <c r="B49" s="21"/>
      <c r="E49" s="61"/>
      <c r="F49" s="21"/>
    </row>
    <row r="50" spans="2:6" x14ac:dyDescent="0.2">
      <c r="B50" s="21"/>
      <c r="E50" s="61"/>
      <c r="F50" s="21"/>
    </row>
    <row r="51" spans="2:6" x14ac:dyDescent="0.2">
      <c r="B51" s="21"/>
      <c r="E51" s="61"/>
      <c r="F51" s="21"/>
    </row>
    <row r="52" spans="2:6" x14ac:dyDescent="0.2">
      <c r="B52" s="21"/>
      <c r="E52" s="61"/>
      <c r="F52" s="21"/>
    </row>
    <row r="53" spans="2:6" x14ac:dyDescent="0.2">
      <c r="B53" s="21"/>
      <c r="E53" s="61"/>
      <c r="F53" s="21"/>
    </row>
    <row r="54" spans="2:6" x14ac:dyDescent="0.2">
      <c r="B54" s="21"/>
      <c r="E54" s="61"/>
      <c r="F54" s="21"/>
    </row>
    <row r="55" spans="2:6" x14ac:dyDescent="0.2">
      <c r="B55" s="21"/>
      <c r="F55" s="21"/>
    </row>
    <row r="56" spans="2:6" x14ac:dyDescent="0.2">
      <c r="B56" s="21"/>
      <c r="F56" s="21"/>
    </row>
    <row r="57" spans="2:6" x14ac:dyDescent="0.2">
      <c r="B57" s="21"/>
      <c r="F57" s="21"/>
    </row>
    <row r="58" spans="2:6" x14ac:dyDescent="0.2">
      <c r="B58" s="21"/>
      <c r="F58" s="21"/>
    </row>
    <row r="59" spans="2:6" x14ac:dyDescent="0.2">
      <c r="B59" s="21"/>
      <c r="F59" s="21"/>
    </row>
    <row r="60" spans="2:6" x14ac:dyDescent="0.2">
      <c r="B60" s="21"/>
      <c r="F60" s="21"/>
    </row>
    <row r="61" spans="2:6" x14ac:dyDescent="0.2">
      <c r="B61" s="21"/>
      <c r="F61" s="21"/>
    </row>
    <row r="62" spans="2:6" x14ac:dyDescent="0.2">
      <c r="B62" s="21"/>
      <c r="F62" s="21"/>
    </row>
    <row r="63" spans="2:6" x14ac:dyDescent="0.2">
      <c r="B63" s="21"/>
      <c r="F63" s="21"/>
    </row>
    <row r="64" spans="2:6" x14ac:dyDescent="0.2">
      <c r="B64" s="21"/>
      <c r="F64" s="21"/>
    </row>
    <row r="65" spans="2:6" x14ac:dyDescent="0.2">
      <c r="B65" s="21"/>
      <c r="F65" s="21"/>
    </row>
    <row r="66" spans="2:6" x14ac:dyDescent="0.2">
      <c r="B66" s="21"/>
      <c r="F66" s="21"/>
    </row>
    <row r="67" spans="2:6" x14ac:dyDescent="0.2">
      <c r="B67" s="21"/>
      <c r="F67" s="21"/>
    </row>
    <row r="68" spans="2:6" x14ac:dyDescent="0.2">
      <c r="B68" s="21"/>
      <c r="F68" s="21"/>
    </row>
    <row r="69" spans="2:6" x14ac:dyDescent="0.2">
      <c r="B69" s="21"/>
      <c r="F69" s="21"/>
    </row>
    <row r="70" spans="2:6" x14ac:dyDescent="0.2">
      <c r="B70" s="21"/>
      <c r="F70" s="21"/>
    </row>
    <row r="71" spans="2:6" x14ac:dyDescent="0.2">
      <c r="B71" s="21"/>
      <c r="F71" s="21"/>
    </row>
    <row r="72" spans="2:6" x14ac:dyDescent="0.2">
      <c r="B72" s="21"/>
      <c r="F72" s="21"/>
    </row>
    <row r="73" spans="2:6" x14ac:dyDescent="0.2">
      <c r="B73" s="21"/>
      <c r="F73" s="21"/>
    </row>
    <row r="74" spans="2:6" x14ac:dyDescent="0.2">
      <c r="B74" s="21"/>
      <c r="F74" s="21"/>
    </row>
    <row r="75" spans="2:6" x14ac:dyDescent="0.2">
      <c r="B75" s="21"/>
      <c r="F75" s="21"/>
    </row>
    <row r="76" spans="2:6" x14ac:dyDescent="0.2">
      <c r="B76" s="21"/>
      <c r="F76" s="21"/>
    </row>
    <row r="77" spans="2:6" x14ac:dyDescent="0.2">
      <c r="B77" s="21"/>
      <c r="F77" s="21"/>
    </row>
    <row r="78" spans="2:6" x14ac:dyDescent="0.2">
      <c r="B78" s="21"/>
      <c r="F78" s="21"/>
    </row>
    <row r="79" spans="2:6" x14ac:dyDescent="0.2">
      <c r="B79" s="21"/>
      <c r="F79" s="21"/>
    </row>
    <row r="80" spans="2: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  <row r="832" spans="2:6" x14ac:dyDescent="0.2">
      <c r="B832" s="21"/>
      <c r="F832" s="21"/>
    </row>
    <row r="833" spans="2:6" x14ac:dyDescent="0.2">
      <c r="B833" s="21"/>
      <c r="F833" s="21"/>
    </row>
    <row r="834" spans="2:6" x14ac:dyDescent="0.2">
      <c r="B834" s="21"/>
      <c r="F834" s="21"/>
    </row>
    <row r="835" spans="2:6" x14ac:dyDescent="0.2">
      <c r="B835" s="21"/>
      <c r="F835" s="21"/>
    </row>
    <row r="836" spans="2:6" x14ac:dyDescent="0.2">
      <c r="B836" s="21"/>
      <c r="F836" s="21"/>
    </row>
    <row r="837" spans="2:6" x14ac:dyDescent="0.2">
      <c r="B837" s="21"/>
      <c r="F837" s="21"/>
    </row>
    <row r="838" spans="2:6" x14ac:dyDescent="0.2">
      <c r="B838" s="21"/>
      <c r="F838" s="21"/>
    </row>
    <row r="839" spans="2:6" x14ac:dyDescent="0.2">
      <c r="B839" s="21"/>
      <c r="F839" s="21"/>
    </row>
    <row r="840" spans="2:6" x14ac:dyDescent="0.2">
      <c r="B840" s="21"/>
      <c r="F840" s="21"/>
    </row>
    <row r="841" spans="2:6" x14ac:dyDescent="0.2">
      <c r="B841" s="21"/>
      <c r="F841" s="21"/>
    </row>
    <row r="842" spans="2:6" x14ac:dyDescent="0.2">
      <c r="B842" s="21"/>
      <c r="F842" s="21"/>
    </row>
  </sheetData>
  <phoneticPr fontId="7" type="noConversion"/>
  <hyperlinks>
    <hyperlink ref="P11" r:id="rId1" display="http://www.konkoly.hu/cgi-bin/IBVS?5745" xr:uid="{00000000-0004-0000-0100-000000000000}"/>
    <hyperlink ref="P12" r:id="rId2" display="http://www.konkoly.hu/cgi-bin/IBVS?5745" xr:uid="{00000000-0004-0000-0100-000001000000}"/>
    <hyperlink ref="P13" r:id="rId3" display="http://www.konkoly.hu/cgi-bin/IBVS?5287" xr:uid="{00000000-0004-0000-0100-000002000000}"/>
    <hyperlink ref="P14" r:id="rId4" display="http://www.konkoly.hu/cgi-bin/IBVS?5583" xr:uid="{00000000-0004-0000-0100-000003000000}"/>
    <hyperlink ref="P15" r:id="rId5" display="http://www.konkoly.hu/cgi-bin/IBVS?5713" xr:uid="{00000000-0004-0000-0100-000004000000}"/>
    <hyperlink ref="P36" r:id="rId6" display="http://var.astro.cz/oejv/issues/oejv0107.pdf" xr:uid="{00000000-0004-0000-0100-000005000000}"/>
    <hyperlink ref="P16" r:id="rId7" display="http://www.bav-astro.de/sfs/BAVM_link.php?BAVMnr=186" xr:uid="{00000000-0004-0000-0100-000006000000}"/>
    <hyperlink ref="P37" r:id="rId8" display="http://www.bav-astro.de/sfs/BAVM_link.php?BAVMnr=212" xr:uid="{00000000-0004-0000-0100-000007000000}"/>
    <hyperlink ref="P17" r:id="rId9" display="http://www.konkoly.hu/cgi-bin/IBVS?5945" xr:uid="{00000000-0004-0000-0100-000008000000}"/>
    <hyperlink ref="P38" r:id="rId10" display="http://var.astro.cz/oejv/issues/oejv0137.pdf" xr:uid="{00000000-0004-0000-0100-000009000000}"/>
    <hyperlink ref="P18" r:id="rId11" display="http://www.bav-astro.de/sfs/BAVM_link.php?BAVMnr=234" xr:uid="{00000000-0004-0000-0100-00000A000000}"/>
    <hyperlink ref="P19" r:id="rId12" display="http://www.bav-astro.de/sfs/BAVM_link.php?BAVMnr=234" xr:uid="{00000000-0004-0000-0100-00000B000000}"/>
    <hyperlink ref="P20" r:id="rId13" display="http://www.bav-astro.de/sfs/BAVM_link.php?BAVMnr=215" xr:uid="{00000000-0004-0000-0100-00000C000000}"/>
    <hyperlink ref="P21" r:id="rId14" display="http://www.bav-astro.de/sfs/BAVM_link.php?BAVMnr=234" xr:uid="{00000000-0004-0000-0100-00000D000000}"/>
    <hyperlink ref="P22" r:id="rId15" display="http://www.bav-astro.de/sfs/BAVM_link.php?BAVMnr=215" xr:uid="{00000000-0004-0000-0100-00000E000000}"/>
    <hyperlink ref="P23" r:id="rId16" display="http://www.bav-astro.de/sfs/BAVM_link.php?BAVMnr=215" xr:uid="{00000000-0004-0000-0100-00000F000000}"/>
    <hyperlink ref="P24" r:id="rId17" display="http://www.konkoly.hu/cgi-bin/IBVS?6007" xr:uid="{00000000-0004-0000-0100-000010000000}"/>
    <hyperlink ref="P25" r:id="rId18" display="http://www.bav-astro.de/sfs/BAVM_link.php?BAVMnr=220" xr:uid="{00000000-0004-0000-0100-000011000000}"/>
    <hyperlink ref="P26" r:id="rId19" display="http://www.bav-astro.de/sfs/BAVM_link.php?BAVMnr=220" xr:uid="{00000000-0004-0000-0100-000012000000}"/>
    <hyperlink ref="P27" r:id="rId20" display="http://www.konkoly.hu/cgi-bin/IBVS?5992" xr:uid="{00000000-0004-0000-0100-000013000000}"/>
    <hyperlink ref="P28" r:id="rId21" display="http://var.astro.cz/oejv/issues/oejv0160.pdf" xr:uid="{00000000-0004-0000-0100-000014000000}"/>
    <hyperlink ref="P29" r:id="rId22" display="http://www.bav-astro.de/sfs/BAVM_link.php?BAVMnr=234" xr:uid="{00000000-0004-0000-0100-000015000000}"/>
    <hyperlink ref="P30" r:id="rId23" display="http://var.astro.cz/oejv/issues/oejv0160.pdf" xr:uid="{00000000-0004-0000-0100-000016000000}"/>
    <hyperlink ref="P31" r:id="rId24" display="http://www.bav-astro.de/sfs/BAVM_link.php?BAVMnr=234" xr:uid="{00000000-0004-0000-0100-000017000000}"/>
    <hyperlink ref="P32" r:id="rId25" display="http://www.bav-astro.de/sfs/BAVM_link.php?BAVMnr=238" xr:uid="{00000000-0004-0000-0100-000018000000}"/>
    <hyperlink ref="P33" r:id="rId26" display="http://www.bav-astro.de/sfs/BAVM_link.php?BAVMnr=239" xr:uid="{00000000-0004-0000-0100-000019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0"/>
  <sheetViews>
    <sheetView topLeftCell="A10" workbookViewId="0">
      <selection activeCell="A20" sqref="A20:R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</row>
    <row r="2" spans="1:7" x14ac:dyDescent="0.2">
      <c r="A2" t="s">
        <v>25</v>
      </c>
      <c r="B2" t="s">
        <v>31</v>
      </c>
    </row>
    <row r="3" spans="1:7" ht="13.5" thickBot="1" x14ac:dyDescent="0.25"/>
    <row r="4" spans="1:7" ht="14.25" thickTop="1" thickBot="1" x14ac:dyDescent="0.25">
      <c r="A4" s="6" t="s">
        <v>1</v>
      </c>
      <c r="C4" s="3">
        <v>38260.392999999996</v>
      </c>
      <c r="D4" s="4">
        <v>0.93146899999999999</v>
      </c>
    </row>
    <row r="5" spans="1:7" ht="13.5" thickTop="1" x14ac:dyDescent="0.2"/>
    <row r="6" spans="1:7" x14ac:dyDescent="0.2">
      <c r="A6" s="6" t="s">
        <v>2</v>
      </c>
    </row>
    <row r="7" spans="1:7" x14ac:dyDescent="0.2">
      <c r="A7" t="s">
        <v>3</v>
      </c>
      <c r="C7">
        <f>+C4</f>
        <v>38260.392999999996</v>
      </c>
    </row>
    <row r="8" spans="1:7" x14ac:dyDescent="0.2">
      <c r="A8" t="s">
        <v>4</v>
      </c>
      <c r="C8">
        <v>0.931488303976582</v>
      </c>
    </row>
    <row r="9" spans="1:7" x14ac:dyDescent="0.2">
      <c r="A9" s="18" t="s">
        <v>37</v>
      </c>
      <c r="B9" s="19"/>
      <c r="C9" s="20">
        <v>8</v>
      </c>
      <c r="D9" s="19" t="s">
        <v>38</v>
      </c>
      <c r="E9" s="19"/>
    </row>
    <row r="10" spans="1:7" ht="13.5" thickBot="1" x14ac:dyDescent="0.25">
      <c r="A10" s="19"/>
      <c r="B10" s="19"/>
      <c r="C10" s="5" t="s">
        <v>21</v>
      </c>
      <c r="D10" s="5" t="s">
        <v>22</v>
      </c>
      <c r="E10" s="19"/>
    </row>
    <row r="11" spans="1:7" x14ac:dyDescent="0.2">
      <c r="A11" s="19" t="s">
        <v>17</v>
      </c>
      <c r="B11" s="19"/>
      <c r="C11" s="35">
        <f ca="1">INTERCEPT(INDIRECT($G$11):G992,INDIRECT($F$11):F992)</f>
        <v>-0.14927520827616361</v>
      </c>
      <c r="D11" s="21"/>
      <c r="E11" s="19"/>
      <c r="F11" s="36" t="str">
        <f>"F"&amp;E19</f>
        <v>F21</v>
      </c>
      <c r="G11" s="11" t="str">
        <f>"G"&amp;E19</f>
        <v>G21</v>
      </c>
    </row>
    <row r="12" spans="1:7" x14ac:dyDescent="0.2">
      <c r="A12" s="19" t="s">
        <v>18</v>
      </c>
      <c r="B12" s="19"/>
      <c r="C12" s="35">
        <f ca="1">SLOPE(INDIRECT($G$11):G992,INDIRECT($F$11):F992)</f>
        <v>-4.0136772823686172E-9</v>
      </c>
      <c r="D12" s="21"/>
      <c r="E12" s="19"/>
    </row>
    <row r="13" spans="1:7" x14ac:dyDescent="0.2">
      <c r="A13" s="19" t="s">
        <v>20</v>
      </c>
      <c r="B13" s="19"/>
      <c r="C13" s="21" t="s">
        <v>15</v>
      </c>
      <c r="D13" s="24" t="s">
        <v>50</v>
      </c>
      <c r="E13" s="20">
        <v>1</v>
      </c>
    </row>
    <row r="14" spans="1:7" x14ac:dyDescent="0.2">
      <c r="A14" s="19"/>
      <c r="B14" s="19"/>
      <c r="C14" s="19"/>
      <c r="D14" s="24" t="s">
        <v>39</v>
      </c>
      <c r="E14" s="25">
        <f ca="1">NOW()+15018.5+$C$9/24</f>
        <v>60172.557112500006</v>
      </c>
    </row>
    <row r="15" spans="1:7" x14ac:dyDescent="0.2">
      <c r="A15" s="22" t="s">
        <v>19</v>
      </c>
      <c r="B15" s="19"/>
      <c r="C15" s="23">
        <f ca="1">(C7+C11)+(C8+C12)*INT(MAX(F21:F3533))</f>
        <v>59460.917431947426</v>
      </c>
      <c r="D15" s="24" t="s">
        <v>51</v>
      </c>
      <c r="E15" s="25">
        <f ca="1">ROUND(2*(E14-$C$7)/$C$8,0)/2+E13</f>
        <v>23525</v>
      </c>
    </row>
    <row r="16" spans="1:7" x14ac:dyDescent="0.2">
      <c r="A16" s="26" t="s">
        <v>5</v>
      </c>
      <c r="B16" s="19"/>
      <c r="C16" s="27">
        <f ca="1">+C8+C12</f>
        <v>0.93148829996290472</v>
      </c>
      <c r="D16" s="24" t="s">
        <v>40</v>
      </c>
      <c r="E16" s="11">
        <f ca="1">ROUND(2*(E14-$C$15)/$C$16,0)/2+E13</f>
        <v>765</v>
      </c>
    </row>
    <row r="17" spans="1:17" ht="13.5" thickBot="1" x14ac:dyDescent="0.25">
      <c r="A17" s="24" t="s">
        <v>35</v>
      </c>
      <c r="B17" s="19"/>
      <c r="C17" s="19">
        <f>COUNT(C21:C2191)</f>
        <v>31</v>
      </c>
      <c r="D17" s="24" t="s">
        <v>41</v>
      </c>
      <c r="E17" s="28">
        <f ca="1">+$C$15+$C$16*E16-15018.5-$C$9/24</f>
        <v>45154.672648085711</v>
      </c>
    </row>
    <row r="18" spans="1:17" ht="14.25" thickTop="1" thickBot="1" x14ac:dyDescent="0.25">
      <c r="A18" s="26" t="s">
        <v>6</v>
      </c>
      <c r="B18" s="19"/>
      <c r="C18" s="29">
        <f ca="1">+C15</f>
        <v>59460.917431947426</v>
      </c>
      <c r="D18" s="30">
        <f ca="1">+C16</f>
        <v>0.93148829996290472</v>
      </c>
      <c r="E18" s="31" t="s">
        <v>42</v>
      </c>
    </row>
    <row r="19" spans="1:17" ht="13.5" thickTop="1" x14ac:dyDescent="0.2">
      <c r="A19" s="37" t="s">
        <v>46</v>
      </c>
      <c r="E19" s="38">
        <v>21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30</v>
      </c>
      <c r="J20" s="8" t="s">
        <v>48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3">
        <f>+C4</f>
        <v>38260.392999999996</v>
      </c>
      <c r="D21" s="13" t="s">
        <v>15</v>
      </c>
      <c r="E21">
        <f t="shared" ref="E21:E51" si="0">+(C21-C$7)/C$8</f>
        <v>0</v>
      </c>
      <c r="F21">
        <f t="shared" ref="F21:F51" si="1">ROUND(2*E21,0)/2</f>
        <v>0</v>
      </c>
      <c r="H21" s="11">
        <v>0</v>
      </c>
      <c r="O21">
        <f t="shared" ref="O21:O51" ca="1" si="2">+C$11+C$12*$F21</f>
        <v>-0.14927520827616361</v>
      </c>
      <c r="Q21" s="2">
        <f t="shared" ref="Q21:Q51" si="3">+C21-15018.5</f>
        <v>23241.892999999996</v>
      </c>
    </row>
    <row r="22" spans="1:17" x14ac:dyDescent="0.2">
      <c r="A22" s="33" t="s">
        <v>43</v>
      </c>
      <c r="B22" s="21" t="s">
        <v>33</v>
      </c>
      <c r="C22" s="34">
        <v>50666.739099999999</v>
      </c>
      <c r="D22" s="13">
        <v>1E-4</v>
      </c>
      <c r="E22">
        <f t="shared" si="0"/>
        <v>13318.842595270959</v>
      </c>
      <c r="F22">
        <f t="shared" si="1"/>
        <v>13319</v>
      </c>
      <c r="G22">
        <f t="shared" ref="G22:G51" si="4">+C22-(C$7+F22*C$8)</f>
        <v>-0.14662066409073304</v>
      </c>
      <c r="I22">
        <f t="shared" ref="I22:I27" si="5">+G22</f>
        <v>-0.14662066409073304</v>
      </c>
      <c r="O22">
        <f t="shared" ca="1" si="2"/>
        <v>-0.14932866644388748</v>
      </c>
      <c r="Q22" s="2">
        <f t="shared" si="3"/>
        <v>35648.239099999999</v>
      </c>
    </row>
    <row r="23" spans="1:17" x14ac:dyDescent="0.2">
      <c r="A23" s="33" t="s">
        <v>43</v>
      </c>
      <c r="B23" s="21" t="s">
        <v>44</v>
      </c>
      <c r="C23" s="34">
        <v>50672.793299999998</v>
      </c>
      <c r="D23" s="13">
        <v>1E-3</v>
      </c>
      <c r="E23">
        <f t="shared" si="0"/>
        <v>13325.342086433813</v>
      </c>
      <c r="F23">
        <f t="shared" si="1"/>
        <v>13325.5</v>
      </c>
      <c r="G23">
        <f t="shared" si="4"/>
        <v>-0.1470946399422246</v>
      </c>
      <c r="I23">
        <f t="shared" si="5"/>
        <v>-0.1470946399422246</v>
      </c>
      <c r="O23">
        <f t="shared" ca="1" si="2"/>
        <v>-0.14932869253278983</v>
      </c>
      <c r="Q23" s="2">
        <f t="shared" si="3"/>
        <v>35654.293299999998</v>
      </c>
    </row>
    <row r="24" spans="1:17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>
        <f t="shared" si="0"/>
        <v>14401.836440382471</v>
      </c>
      <c r="F24">
        <f t="shared" si="1"/>
        <v>14402</v>
      </c>
      <c r="G24">
        <f t="shared" si="4"/>
        <v>-0.15235387073335005</v>
      </c>
      <c r="I24">
        <f t="shared" si="5"/>
        <v>-0.15235387073335005</v>
      </c>
      <c r="O24">
        <f t="shared" ca="1" si="2"/>
        <v>-0.14933301325638429</v>
      </c>
      <c r="Q24" s="2">
        <f t="shared" si="3"/>
        <v>36657.035199999998</v>
      </c>
    </row>
    <row r="25" spans="1:17" x14ac:dyDescent="0.2">
      <c r="A25" s="12" t="s">
        <v>34</v>
      </c>
      <c r="B25" s="10" t="s">
        <v>33</v>
      </c>
      <c r="C25" s="14">
        <v>52138.489300000001</v>
      </c>
      <c r="D25" s="14">
        <v>4.5999999999999999E-3</v>
      </c>
      <c r="E25">
        <f t="shared" si="0"/>
        <v>14898.841177880109</v>
      </c>
      <c r="F25">
        <f t="shared" si="1"/>
        <v>14899</v>
      </c>
      <c r="G25">
        <f t="shared" si="4"/>
        <v>-0.14794094709213823</v>
      </c>
      <c r="I25">
        <f t="shared" si="5"/>
        <v>-0.14794094709213823</v>
      </c>
      <c r="O25">
        <f t="shared" ca="1" si="2"/>
        <v>-0.14933500805399363</v>
      </c>
      <c r="Q25" s="2">
        <f t="shared" si="3"/>
        <v>37119.989300000001</v>
      </c>
    </row>
    <row r="26" spans="1:17" x14ac:dyDescent="0.2">
      <c r="A26" s="32" t="s">
        <v>34</v>
      </c>
      <c r="B26" s="10" t="s">
        <v>33</v>
      </c>
      <c r="C26" s="14">
        <v>52138.489300000001</v>
      </c>
      <c r="D26" s="14">
        <v>4.5999999999999999E-3</v>
      </c>
      <c r="E26">
        <f t="shared" si="0"/>
        <v>14898.841177880109</v>
      </c>
      <c r="F26">
        <f t="shared" si="1"/>
        <v>14899</v>
      </c>
      <c r="G26">
        <f t="shared" si="4"/>
        <v>-0.14794094709213823</v>
      </c>
      <c r="I26">
        <f t="shared" si="5"/>
        <v>-0.14794094709213823</v>
      </c>
      <c r="O26">
        <f t="shared" ca="1" si="2"/>
        <v>-0.14933500805399363</v>
      </c>
      <c r="Q26" s="2">
        <f t="shared" si="3"/>
        <v>37119.989300000001</v>
      </c>
    </row>
    <row r="27" spans="1:17" x14ac:dyDescent="0.2">
      <c r="A27" s="15" t="s">
        <v>36</v>
      </c>
      <c r="B27" s="16" t="s">
        <v>33</v>
      </c>
      <c r="C27" s="17">
        <v>53566.453600000001</v>
      </c>
      <c r="D27" s="17">
        <v>1.6000000000000001E-3</v>
      </c>
      <c r="E27">
        <f t="shared" si="0"/>
        <v>16431.833373170088</v>
      </c>
      <c r="F27">
        <f t="shared" si="1"/>
        <v>16432</v>
      </c>
      <c r="G27">
        <f t="shared" si="4"/>
        <v>-0.15521094318683026</v>
      </c>
      <c r="I27">
        <f t="shared" si="5"/>
        <v>-0.15521094318683026</v>
      </c>
      <c r="O27">
        <f t="shared" ca="1" si="2"/>
        <v>-0.14934116102126749</v>
      </c>
      <c r="Q27" s="2">
        <f t="shared" si="3"/>
        <v>38547.953600000001</v>
      </c>
    </row>
    <row r="28" spans="1:17" x14ac:dyDescent="0.2">
      <c r="A28" s="15" t="s">
        <v>47</v>
      </c>
      <c r="B28" s="16" t="s">
        <v>33</v>
      </c>
      <c r="C28" s="17">
        <v>54217.563390000003</v>
      </c>
      <c r="D28" s="17">
        <v>2.0000000000000001E-4</v>
      </c>
      <c r="E28">
        <f t="shared" si="0"/>
        <v>17130.832799379063</v>
      </c>
      <c r="F28">
        <f t="shared" si="1"/>
        <v>17131</v>
      </c>
      <c r="G28">
        <f t="shared" si="4"/>
        <v>-0.1557454228241113</v>
      </c>
      <c r="J28">
        <f>+G28</f>
        <v>-0.1557454228241113</v>
      </c>
      <c r="O28">
        <f t="shared" ca="1" si="2"/>
        <v>-0.14934396658168786</v>
      </c>
      <c r="Q28" s="2">
        <f t="shared" si="3"/>
        <v>39199.063390000003</v>
      </c>
    </row>
    <row r="29" spans="1:17" x14ac:dyDescent="0.2">
      <c r="A29" s="17" t="s">
        <v>45</v>
      </c>
      <c r="B29" s="39"/>
      <c r="C29" s="17">
        <v>54245.5069</v>
      </c>
      <c r="D29" s="17">
        <v>6.9999999999999999E-4</v>
      </c>
      <c r="E29">
        <f t="shared" si="0"/>
        <v>17160.831576476645</v>
      </c>
      <c r="F29">
        <f t="shared" si="1"/>
        <v>17161</v>
      </c>
      <c r="G29">
        <f t="shared" si="4"/>
        <v>-0.15688454212067882</v>
      </c>
      <c r="I29">
        <f>+G29</f>
        <v>-0.15688454212067882</v>
      </c>
      <c r="O29">
        <f t="shared" ca="1" si="2"/>
        <v>-0.14934408699200635</v>
      </c>
      <c r="Q29" s="2">
        <f t="shared" si="3"/>
        <v>39227.0069</v>
      </c>
    </row>
    <row r="30" spans="1:17" x14ac:dyDescent="0.2">
      <c r="A30" s="40" t="s">
        <v>49</v>
      </c>
      <c r="B30" s="41" t="s">
        <v>33</v>
      </c>
      <c r="C30" s="40">
        <v>55342.807800000002</v>
      </c>
      <c r="D30" s="40">
        <v>2.9999999999999997E-4</v>
      </c>
      <c r="E30">
        <f t="shared" si="0"/>
        <v>18338.839819108951</v>
      </c>
      <c r="F30">
        <f t="shared" si="1"/>
        <v>18339</v>
      </c>
      <c r="G30">
        <f t="shared" si="4"/>
        <v>-0.14920662652730243</v>
      </c>
      <c r="I30">
        <f>+G30</f>
        <v>-0.14920662652730243</v>
      </c>
      <c r="O30">
        <f t="shared" ca="1" si="2"/>
        <v>-0.14934881510384498</v>
      </c>
      <c r="Q30" s="2">
        <f t="shared" si="3"/>
        <v>40324.307800000002</v>
      </c>
    </row>
    <row r="31" spans="1:17" x14ac:dyDescent="0.2">
      <c r="A31" s="15" t="s">
        <v>52</v>
      </c>
      <c r="B31" s="16" t="s">
        <v>33</v>
      </c>
      <c r="C31" s="17">
        <v>55375.41072</v>
      </c>
      <c r="D31" s="17">
        <v>2.9999999999999997E-4</v>
      </c>
      <c r="E31">
        <f t="shared" si="0"/>
        <v>18373.840709469911</v>
      </c>
      <c r="F31">
        <f t="shared" si="1"/>
        <v>18374</v>
      </c>
      <c r="G31">
        <f t="shared" si="4"/>
        <v>-0.14837726571568055</v>
      </c>
      <c r="J31">
        <f>+G31</f>
        <v>-0.14837726571568055</v>
      </c>
      <c r="O31">
        <f t="shared" ca="1" si="2"/>
        <v>-0.14934895558254985</v>
      </c>
      <c r="Q31" s="2">
        <f t="shared" si="3"/>
        <v>40356.91072</v>
      </c>
    </row>
    <row r="32" spans="1:17" x14ac:dyDescent="0.2">
      <c r="A32" s="42" t="s">
        <v>57</v>
      </c>
      <c r="B32" s="43" t="s">
        <v>33</v>
      </c>
      <c r="C32" s="44">
        <v>55380.530599999998</v>
      </c>
      <c r="D32" s="45">
        <v>2.3999999999999998E-3</v>
      </c>
      <c r="E32">
        <f t="shared" si="0"/>
        <v>18379.337160663275</v>
      </c>
      <c r="F32">
        <f t="shared" si="1"/>
        <v>18379.5</v>
      </c>
      <c r="G32">
        <f t="shared" si="4"/>
        <v>-0.15168293759052176</v>
      </c>
      <c r="I32">
        <f t="shared" ref="I32:I38" si="6">+G32</f>
        <v>-0.15168293759052176</v>
      </c>
      <c r="O32">
        <f t="shared" ca="1" si="2"/>
        <v>-0.14934897765777491</v>
      </c>
      <c r="Q32" s="2">
        <f t="shared" si="3"/>
        <v>40362.030599999998</v>
      </c>
    </row>
    <row r="33" spans="1:17" x14ac:dyDescent="0.2">
      <c r="A33" s="42" t="s">
        <v>57</v>
      </c>
      <c r="B33" s="43" t="s">
        <v>33</v>
      </c>
      <c r="C33" s="44">
        <v>55387.519999999997</v>
      </c>
      <c r="D33" s="45">
        <v>8.9999999999999998E-4</v>
      </c>
      <c r="E33">
        <f t="shared" si="0"/>
        <v>18386.840636520308</v>
      </c>
      <c r="F33">
        <f t="shared" si="1"/>
        <v>18387</v>
      </c>
      <c r="G33">
        <f t="shared" si="4"/>
        <v>-0.14844521741179051</v>
      </c>
      <c r="I33">
        <f t="shared" si="6"/>
        <v>-0.14844521741179051</v>
      </c>
      <c r="O33">
        <f t="shared" ca="1" si="2"/>
        <v>-0.14934900776035454</v>
      </c>
      <c r="Q33" s="2">
        <f t="shared" si="3"/>
        <v>40369.019999999997</v>
      </c>
    </row>
    <row r="34" spans="1:17" x14ac:dyDescent="0.2">
      <c r="A34" s="42" t="s">
        <v>57</v>
      </c>
      <c r="B34" s="43" t="s">
        <v>33</v>
      </c>
      <c r="C34" s="44">
        <v>55409.412100000001</v>
      </c>
      <c r="D34" s="45">
        <v>1.1999999999999999E-3</v>
      </c>
      <c r="E34">
        <f t="shared" si="0"/>
        <v>18410.342917661732</v>
      </c>
      <c r="F34">
        <f t="shared" si="1"/>
        <v>18410.5</v>
      </c>
      <c r="G34">
        <f t="shared" si="4"/>
        <v>-0.14632036085822619</v>
      </c>
      <c r="I34">
        <f t="shared" si="6"/>
        <v>-0.14632036085822619</v>
      </c>
      <c r="O34">
        <f t="shared" ca="1" si="2"/>
        <v>-0.14934910208177066</v>
      </c>
      <c r="Q34" s="2">
        <f t="shared" si="3"/>
        <v>40390.912100000001</v>
      </c>
    </row>
    <row r="35" spans="1:17" x14ac:dyDescent="0.2">
      <c r="A35" s="40" t="s">
        <v>54</v>
      </c>
      <c r="B35" s="41" t="s">
        <v>33</v>
      </c>
      <c r="C35" s="40">
        <v>55616.66689</v>
      </c>
      <c r="D35" s="40">
        <v>1.2E-4</v>
      </c>
      <c r="E35">
        <f t="shared" si="0"/>
        <v>18632.841460171836</v>
      </c>
      <c r="F35">
        <f t="shared" si="1"/>
        <v>18633</v>
      </c>
      <c r="G35">
        <f t="shared" si="4"/>
        <v>-0.14767799565015594</v>
      </c>
      <c r="I35">
        <f t="shared" si="6"/>
        <v>-0.14767799565015594</v>
      </c>
      <c r="O35">
        <f t="shared" ca="1" si="2"/>
        <v>-0.149349995124966</v>
      </c>
      <c r="Q35" s="2">
        <f t="shared" si="3"/>
        <v>40598.16689</v>
      </c>
    </row>
    <row r="36" spans="1:17" x14ac:dyDescent="0.2">
      <c r="A36" s="40" t="s">
        <v>55</v>
      </c>
      <c r="B36" s="41" t="s">
        <v>33</v>
      </c>
      <c r="C36" s="40">
        <v>55700.501300000004</v>
      </c>
      <c r="D36" s="40">
        <v>3.0000000000000001E-3</v>
      </c>
      <c r="E36">
        <f t="shared" si="0"/>
        <v>18722.841956841639</v>
      </c>
      <c r="F36">
        <f t="shared" si="1"/>
        <v>18723</v>
      </c>
      <c r="G36">
        <f t="shared" si="4"/>
        <v>-0.14721535353601212</v>
      </c>
      <c r="I36">
        <f t="shared" si="6"/>
        <v>-0.14721535353601212</v>
      </c>
      <c r="O36">
        <f t="shared" ca="1" si="2"/>
        <v>-0.14935035635592139</v>
      </c>
      <c r="Q36" s="2">
        <f t="shared" si="3"/>
        <v>40682.001300000004</v>
      </c>
    </row>
    <row r="37" spans="1:17" x14ac:dyDescent="0.2">
      <c r="A37" s="40" t="s">
        <v>55</v>
      </c>
      <c r="B37" s="41" t="s">
        <v>44</v>
      </c>
      <c r="C37" s="40">
        <v>55707.487000000001</v>
      </c>
      <c r="D37" s="40">
        <v>4.7999999999999996E-3</v>
      </c>
      <c r="E37">
        <f t="shared" si="0"/>
        <v>18730.341460560769</v>
      </c>
      <c r="F37">
        <f t="shared" si="1"/>
        <v>18730.5</v>
      </c>
      <c r="G37">
        <f t="shared" si="4"/>
        <v>-0.14767763336567441</v>
      </c>
      <c r="I37">
        <f t="shared" si="6"/>
        <v>-0.14767763336567441</v>
      </c>
      <c r="O37">
        <f t="shared" ca="1" si="2"/>
        <v>-0.14935038645850102</v>
      </c>
      <c r="Q37" s="2">
        <f t="shared" si="3"/>
        <v>40688.987000000001</v>
      </c>
    </row>
    <row r="38" spans="1:17" x14ac:dyDescent="0.2">
      <c r="A38" s="40" t="s">
        <v>53</v>
      </c>
      <c r="B38" s="41" t="s">
        <v>33</v>
      </c>
      <c r="C38" s="40">
        <v>55710.750699999997</v>
      </c>
      <c r="D38" s="40">
        <v>8.9999999999999998E-4</v>
      </c>
      <c r="E38">
        <f t="shared" si="0"/>
        <v>18733.845208257935</v>
      </c>
      <c r="F38">
        <f t="shared" si="1"/>
        <v>18734</v>
      </c>
      <c r="G38">
        <f t="shared" si="4"/>
        <v>-0.14418669728183886</v>
      </c>
      <c r="I38">
        <f t="shared" si="6"/>
        <v>-0.14418669728183886</v>
      </c>
      <c r="O38">
        <f t="shared" ca="1" si="2"/>
        <v>-0.14935040050637149</v>
      </c>
      <c r="Q38" s="2">
        <f t="shared" si="3"/>
        <v>40692.250699999997</v>
      </c>
    </row>
    <row r="39" spans="1:17" x14ac:dyDescent="0.2">
      <c r="A39" s="15" t="s">
        <v>56</v>
      </c>
      <c r="B39" s="16" t="s">
        <v>44</v>
      </c>
      <c r="C39" s="17">
        <v>56102.437129999998</v>
      </c>
      <c r="D39" s="17">
        <v>4.0000000000000002E-4</v>
      </c>
      <c r="E39">
        <f t="shared" si="0"/>
        <v>19154.340482678308</v>
      </c>
      <c r="F39">
        <f t="shared" si="1"/>
        <v>19154.5</v>
      </c>
      <c r="G39">
        <f t="shared" si="4"/>
        <v>-0.14858851943426998</v>
      </c>
      <c r="J39">
        <f>+G39</f>
        <v>-0.14858851943426998</v>
      </c>
      <c r="O39">
        <f t="shared" ca="1" si="2"/>
        <v>-0.14935208825766874</v>
      </c>
      <c r="Q39" s="2">
        <f t="shared" si="3"/>
        <v>41083.937129999998</v>
      </c>
    </row>
    <row r="40" spans="1:17" x14ac:dyDescent="0.2">
      <c r="A40" s="42" t="s">
        <v>57</v>
      </c>
      <c r="B40" s="43" t="s">
        <v>33</v>
      </c>
      <c r="C40" s="44">
        <v>56136.435299999997</v>
      </c>
      <c r="D40" s="45">
        <v>1.8E-3</v>
      </c>
      <c r="E40">
        <f t="shared" si="0"/>
        <v>19190.839244772109</v>
      </c>
      <c r="F40">
        <f t="shared" si="1"/>
        <v>19191</v>
      </c>
      <c r="G40">
        <f t="shared" si="4"/>
        <v>-0.14974161458667368</v>
      </c>
      <c r="I40">
        <f>+G40</f>
        <v>-0.14974161458667368</v>
      </c>
      <c r="O40">
        <f t="shared" ca="1" si="2"/>
        <v>-0.14935223475688955</v>
      </c>
      <c r="Q40" s="2">
        <f t="shared" si="3"/>
        <v>41117.935299999997</v>
      </c>
    </row>
    <row r="41" spans="1:17" x14ac:dyDescent="0.2">
      <c r="A41" s="15" t="s">
        <v>56</v>
      </c>
      <c r="B41" s="16" t="s">
        <v>33</v>
      </c>
      <c r="C41" s="17">
        <v>56275.226320000002</v>
      </c>
      <c r="D41" s="17">
        <v>2.9999999999999997E-4</v>
      </c>
      <c r="E41">
        <f t="shared" si="0"/>
        <v>19339.838453251159</v>
      </c>
      <c r="F41">
        <f t="shared" si="1"/>
        <v>19340</v>
      </c>
      <c r="G41">
        <f t="shared" si="4"/>
        <v>-0.15047890708956402</v>
      </c>
      <c r="J41">
        <f>+G41</f>
        <v>-0.15047890708956402</v>
      </c>
      <c r="O41">
        <f t="shared" ca="1" si="2"/>
        <v>-0.14935283279480463</v>
      </c>
      <c r="Q41" s="2">
        <f t="shared" si="3"/>
        <v>41256.726320000002</v>
      </c>
    </row>
    <row r="42" spans="1:17" x14ac:dyDescent="0.2">
      <c r="A42" s="42" t="s">
        <v>57</v>
      </c>
      <c r="B42" s="43" t="s">
        <v>33</v>
      </c>
      <c r="C42" s="44">
        <v>56579.3557</v>
      </c>
      <c r="D42" s="45">
        <v>1.8E-3</v>
      </c>
      <c r="E42">
        <f t="shared" si="0"/>
        <v>19666.336787907268</v>
      </c>
      <c r="F42">
        <f t="shared" si="1"/>
        <v>19666.5</v>
      </c>
      <c r="G42">
        <f t="shared" si="4"/>
        <v>-0.15203015544102527</v>
      </c>
      <c r="I42">
        <f t="shared" ref="I42:I51" si="7">+G42</f>
        <v>-0.15203015544102527</v>
      </c>
      <c r="O42">
        <f t="shared" ca="1" si="2"/>
        <v>-0.14935414326043731</v>
      </c>
      <c r="Q42" s="2">
        <f t="shared" si="3"/>
        <v>41560.8557</v>
      </c>
    </row>
    <row r="43" spans="1:17" x14ac:dyDescent="0.2">
      <c r="A43" s="45" t="s">
        <v>60</v>
      </c>
      <c r="B43" s="43" t="e">
        <v>#REF!</v>
      </c>
      <c r="C43" s="45">
        <v>56897.465300000003</v>
      </c>
      <c r="D43" s="45">
        <v>2.0999999999999999E-3</v>
      </c>
      <c r="E43">
        <f t="shared" si="0"/>
        <v>20007.843598719573</v>
      </c>
      <c r="F43">
        <f t="shared" si="1"/>
        <v>20008</v>
      </c>
      <c r="G43">
        <f t="shared" si="4"/>
        <v>-0.14568596344179241</v>
      </c>
      <c r="I43">
        <f t="shared" si="7"/>
        <v>-0.14568596344179241</v>
      </c>
      <c r="O43">
        <f t="shared" ca="1" si="2"/>
        <v>-0.14935551393122926</v>
      </c>
      <c r="Q43" s="2">
        <f t="shared" si="3"/>
        <v>41878.965300000003</v>
      </c>
    </row>
    <row r="44" spans="1:17" x14ac:dyDescent="0.2">
      <c r="A44" s="72" t="s">
        <v>209</v>
      </c>
      <c r="B44" s="73" t="s">
        <v>44</v>
      </c>
      <c r="C44" s="74">
        <v>56918.423699999999</v>
      </c>
      <c r="D44" s="72">
        <v>3.5000000000000001E-3</v>
      </c>
      <c r="E44">
        <f t="shared" si="0"/>
        <v>20030.343505492983</v>
      </c>
      <c r="F44">
        <f t="shared" si="1"/>
        <v>20030.5</v>
      </c>
      <c r="G44">
        <f t="shared" si="4"/>
        <v>-0.14577280291996431</v>
      </c>
      <c r="I44">
        <f t="shared" si="7"/>
        <v>-0.14577280291996431</v>
      </c>
      <c r="O44">
        <f t="shared" ca="1" si="2"/>
        <v>-0.1493556042389681</v>
      </c>
      <c r="Q44" s="2">
        <f t="shared" si="3"/>
        <v>41899.923699999999</v>
      </c>
    </row>
    <row r="45" spans="1:17" x14ac:dyDescent="0.2">
      <c r="A45" s="45" t="s">
        <v>61</v>
      </c>
      <c r="B45" s="49"/>
      <c r="C45" s="45">
        <v>56918.425499999998</v>
      </c>
      <c r="D45" s="45">
        <v>6.9999999999999999E-4</v>
      </c>
      <c r="E45">
        <f t="shared" si="0"/>
        <v>20030.345437884393</v>
      </c>
      <c r="F45">
        <f t="shared" si="1"/>
        <v>20030.5</v>
      </c>
      <c r="G45">
        <f t="shared" si="4"/>
        <v>-0.14397280292178039</v>
      </c>
      <c r="I45">
        <f t="shared" si="7"/>
        <v>-0.14397280292178039</v>
      </c>
      <c r="O45">
        <f t="shared" ca="1" si="2"/>
        <v>-0.1493556042389681</v>
      </c>
      <c r="Q45" s="2">
        <f t="shared" si="3"/>
        <v>41899.925499999998</v>
      </c>
    </row>
    <row r="46" spans="1:17" x14ac:dyDescent="0.2">
      <c r="A46" s="69" t="s">
        <v>0</v>
      </c>
      <c r="B46" s="70" t="s">
        <v>33</v>
      </c>
      <c r="C46" s="71">
        <v>57935.605799999998</v>
      </c>
      <c r="D46" s="71">
        <v>8.0000000000000004E-4</v>
      </c>
      <c r="E46">
        <f t="shared" si="0"/>
        <v>21122.340147487932</v>
      </c>
      <c r="F46">
        <f t="shared" si="1"/>
        <v>21122.5</v>
      </c>
      <c r="G46">
        <f t="shared" si="4"/>
        <v>-0.14890074535651365</v>
      </c>
      <c r="I46">
        <f t="shared" si="7"/>
        <v>-0.14890074535651365</v>
      </c>
      <c r="O46">
        <f t="shared" ca="1" si="2"/>
        <v>-0.14935998717456045</v>
      </c>
      <c r="Q46" s="2">
        <f t="shared" si="3"/>
        <v>42917.105799999998</v>
      </c>
    </row>
    <row r="47" spans="1:17" x14ac:dyDescent="0.2">
      <c r="A47" s="69" t="s">
        <v>0</v>
      </c>
      <c r="B47" s="70" t="s">
        <v>33</v>
      </c>
      <c r="C47" s="71">
        <v>57949.579700000002</v>
      </c>
      <c r="D47" s="71">
        <v>8.0000000000000004E-4</v>
      </c>
      <c r="E47">
        <f t="shared" si="0"/>
        <v>21137.341838803164</v>
      </c>
      <c r="F47">
        <f t="shared" si="1"/>
        <v>21137.5</v>
      </c>
      <c r="G47">
        <f t="shared" si="4"/>
        <v>-0.14732530499168206</v>
      </c>
      <c r="I47">
        <f t="shared" si="7"/>
        <v>-0.14732530499168206</v>
      </c>
      <c r="O47">
        <f t="shared" ca="1" si="2"/>
        <v>-0.14936004737971967</v>
      </c>
      <c r="Q47" s="2">
        <f t="shared" si="3"/>
        <v>42931.079700000002</v>
      </c>
    </row>
    <row r="48" spans="1:17" x14ac:dyDescent="0.2">
      <c r="A48" s="69" t="s">
        <v>0</v>
      </c>
      <c r="B48" s="70" t="s">
        <v>33</v>
      </c>
      <c r="C48" s="71">
        <v>57950.503100000002</v>
      </c>
      <c r="D48" s="71">
        <v>8.9999999999999998E-4</v>
      </c>
      <c r="E48">
        <f t="shared" si="0"/>
        <v>21138.33315559808</v>
      </c>
      <c r="F48">
        <f t="shared" si="1"/>
        <v>21138.5</v>
      </c>
      <c r="G48">
        <f t="shared" si="4"/>
        <v>-0.1554136089689564</v>
      </c>
      <c r="I48">
        <f t="shared" si="7"/>
        <v>-0.1554136089689564</v>
      </c>
      <c r="O48">
        <f t="shared" ca="1" si="2"/>
        <v>-0.14936005139339695</v>
      </c>
      <c r="Q48" s="2">
        <f t="shared" si="3"/>
        <v>42932.003100000002</v>
      </c>
    </row>
    <row r="49" spans="1:17" x14ac:dyDescent="0.2">
      <c r="A49" s="69" t="s">
        <v>0</v>
      </c>
      <c r="B49" s="70" t="s">
        <v>33</v>
      </c>
      <c r="C49" s="71">
        <v>57978.453699999998</v>
      </c>
      <c r="D49" s="71">
        <v>8.0000000000000004E-4</v>
      </c>
      <c r="E49">
        <f t="shared" si="0"/>
        <v>21168.339544170725</v>
      </c>
      <c r="F49">
        <f t="shared" si="1"/>
        <v>21168.5</v>
      </c>
      <c r="G49">
        <f t="shared" si="4"/>
        <v>-0.14946272827364737</v>
      </c>
      <c r="I49">
        <f t="shared" si="7"/>
        <v>-0.14946272827364737</v>
      </c>
      <c r="O49">
        <f t="shared" ca="1" si="2"/>
        <v>-0.14936017180371544</v>
      </c>
      <c r="Q49" s="2">
        <f t="shared" si="3"/>
        <v>42959.953699999998</v>
      </c>
    </row>
    <row r="50" spans="1:17" x14ac:dyDescent="0.2">
      <c r="A50" s="72" t="s">
        <v>209</v>
      </c>
      <c r="B50" s="73" t="s">
        <v>33</v>
      </c>
      <c r="C50" s="74">
        <v>59071.553800000002</v>
      </c>
      <c r="D50" s="72">
        <v>3.5000000000000001E-3</v>
      </c>
      <c r="E50">
        <f t="shared" si="0"/>
        <v>22341.838014665191</v>
      </c>
      <c r="F50">
        <f t="shared" si="1"/>
        <v>22342</v>
      </c>
      <c r="G50">
        <f t="shared" si="4"/>
        <v>-0.15088744478998706</v>
      </c>
      <c r="I50">
        <f t="shared" si="7"/>
        <v>-0.15088744478998706</v>
      </c>
      <c r="O50">
        <f t="shared" ca="1" si="2"/>
        <v>-0.14936488185400629</v>
      </c>
      <c r="Q50" s="2">
        <f t="shared" si="3"/>
        <v>44053.053800000002</v>
      </c>
    </row>
    <row r="51" spans="1:17" x14ac:dyDescent="0.2">
      <c r="A51" s="72" t="s">
        <v>209</v>
      </c>
      <c r="B51" s="73" t="s">
        <v>44</v>
      </c>
      <c r="C51" s="74">
        <v>59461.380899999996</v>
      </c>
      <c r="D51" s="72">
        <v>3.5000000000000001E-3</v>
      </c>
      <c r="E51">
        <f t="shared" si="0"/>
        <v>22760.33720390439</v>
      </c>
      <c r="F51">
        <f t="shared" si="1"/>
        <v>22760.5</v>
      </c>
      <c r="G51">
        <f t="shared" si="4"/>
        <v>-0.1516426589951152</v>
      </c>
      <c r="I51">
        <f t="shared" si="7"/>
        <v>-0.1516426589951152</v>
      </c>
      <c r="O51">
        <f t="shared" ca="1" si="2"/>
        <v>-0.14936656157794898</v>
      </c>
      <c r="Q51" s="2">
        <f t="shared" si="3"/>
        <v>44442.880899999996</v>
      </c>
    </row>
    <row r="52" spans="1:17" x14ac:dyDescent="0.2">
      <c r="C52" s="13"/>
      <c r="D52" s="13"/>
    </row>
    <row r="53" spans="1:17" x14ac:dyDescent="0.2">
      <c r="C53" s="13"/>
      <c r="D53" s="13"/>
    </row>
    <row r="54" spans="1:17" x14ac:dyDescent="0.2">
      <c r="C54" s="13"/>
      <c r="D54" s="13"/>
    </row>
    <row r="55" spans="1:17" x14ac:dyDescent="0.2">
      <c r="C55" s="13"/>
      <c r="D55" s="13"/>
    </row>
    <row r="56" spans="1:17" x14ac:dyDescent="0.2">
      <c r="C56" s="13"/>
      <c r="D56" s="13"/>
    </row>
    <row r="57" spans="1:17" x14ac:dyDescent="0.2">
      <c r="C57" s="13"/>
      <c r="D57" s="13"/>
    </row>
    <row r="58" spans="1:17" x14ac:dyDescent="0.2">
      <c r="C58" s="13"/>
      <c r="D58" s="13"/>
    </row>
    <row r="59" spans="1:17" x14ac:dyDescent="0.2">
      <c r="C59" s="13"/>
      <c r="D59" s="13"/>
    </row>
    <row r="60" spans="1:17" x14ac:dyDescent="0.2">
      <c r="C60" s="13"/>
      <c r="D60" s="13"/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</sheetData>
  <sortState xmlns:xlrd2="http://schemas.microsoft.com/office/spreadsheetml/2017/richdata2" ref="A21:R51">
    <sortCondition ref="C21:C5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2023-08-15T07:52:14Z</dcterms:modified>
</cp:coreProperties>
</file>