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DC2D833-6257-48C3-9B78-B2677B644F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50" i="1" l="1"/>
  <c r="F50" i="1" s="1"/>
  <c r="Q50" i="1"/>
  <c r="Q49" i="1"/>
  <c r="Q51" i="1"/>
  <c r="Q48" i="1"/>
  <c r="D12" i="1"/>
  <c r="W13" i="1" s="1"/>
  <c r="D11" i="1"/>
  <c r="W19" i="1" s="1"/>
  <c r="D13" i="1"/>
  <c r="Q32" i="1"/>
  <c r="D9" i="1"/>
  <c r="C9" i="1"/>
  <c r="Q47" i="1"/>
  <c r="Q45" i="1"/>
  <c r="Q46" i="1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44" i="1"/>
  <c r="Q21" i="1"/>
  <c r="Q22" i="1"/>
  <c r="Q23" i="1"/>
  <c r="Q24" i="1"/>
  <c r="Q25" i="1"/>
  <c r="Q26" i="1"/>
  <c r="Q27" i="1"/>
  <c r="Q28" i="1"/>
  <c r="Q29" i="1"/>
  <c r="Q30" i="1"/>
  <c r="Q31" i="1"/>
  <c r="Q35" i="1"/>
  <c r="Q38" i="1"/>
  <c r="Q42" i="1"/>
  <c r="Q43" i="1"/>
  <c r="F16" i="1"/>
  <c r="C17" i="1"/>
  <c r="Q41" i="1"/>
  <c r="Q40" i="1"/>
  <c r="Q34" i="1"/>
  <c r="Q33" i="1"/>
  <c r="Q39" i="1"/>
  <c r="Q36" i="1"/>
  <c r="Q37" i="1"/>
  <c r="D4" i="1"/>
  <c r="C8" i="1" s="1"/>
  <c r="C4" i="1"/>
  <c r="C7" i="1" s="1"/>
  <c r="B2" i="1"/>
  <c r="W8" i="1"/>
  <c r="W23" i="1" l="1"/>
  <c r="W24" i="1"/>
  <c r="G50" i="1"/>
  <c r="K50" i="1" s="1"/>
  <c r="P50" i="1"/>
  <c r="R50" i="1" s="1"/>
  <c r="T50" i="1" s="1"/>
  <c r="W3" i="1"/>
  <c r="W4" i="1"/>
  <c r="W7" i="1"/>
  <c r="W10" i="1"/>
  <c r="W26" i="1"/>
  <c r="W27" i="1"/>
  <c r="W17" i="1"/>
  <c r="W25" i="1"/>
  <c r="W11" i="1"/>
  <c r="W21" i="1"/>
  <c r="W28" i="1"/>
  <c r="E49" i="1"/>
  <c r="F49" i="1" s="1"/>
  <c r="G49" i="1" s="1"/>
  <c r="K49" i="1" s="1"/>
  <c r="E32" i="1"/>
  <c r="F32" i="1" s="1"/>
  <c r="E38" i="1"/>
  <c r="F38" i="1" s="1"/>
  <c r="G38" i="1" s="1"/>
  <c r="J38" i="1" s="1"/>
  <c r="E40" i="1"/>
  <c r="E43" i="1"/>
  <c r="E23" i="1"/>
  <c r="F23" i="1" s="1"/>
  <c r="E47" i="1"/>
  <c r="F47" i="1" s="1"/>
  <c r="G47" i="1" s="1"/>
  <c r="K47" i="1" s="1"/>
  <c r="E42" i="1"/>
  <c r="E44" i="1"/>
  <c r="E41" i="1"/>
  <c r="E29" i="1"/>
  <c r="F29" i="1" s="1"/>
  <c r="G29" i="1" s="1"/>
  <c r="K29" i="1" s="1"/>
  <c r="E31" i="1"/>
  <c r="F31" i="1" s="1"/>
  <c r="G31" i="1" s="1"/>
  <c r="K31" i="1" s="1"/>
  <c r="E28" i="1"/>
  <c r="F28" i="1" s="1"/>
  <c r="P28" i="1" s="1"/>
  <c r="E51" i="1"/>
  <c r="F51" i="1" s="1"/>
  <c r="G51" i="1" s="1"/>
  <c r="K51" i="1" s="1"/>
  <c r="E46" i="1"/>
  <c r="E21" i="1"/>
  <c r="F21" i="1" s="1"/>
  <c r="G21" i="1" s="1"/>
  <c r="K21" i="1" s="1"/>
  <c r="E35" i="1"/>
  <c r="F35" i="1" s="1"/>
  <c r="G35" i="1" s="1"/>
  <c r="K35" i="1" s="1"/>
  <c r="E24" i="1"/>
  <c r="F24" i="1" s="1"/>
  <c r="G24" i="1" s="1"/>
  <c r="K24" i="1" s="1"/>
  <c r="E39" i="1"/>
  <c r="E36" i="1"/>
  <c r="F36" i="1" s="1"/>
  <c r="P36" i="1" s="1"/>
  <c r="E33" i="1"/>
  <c r="F33" i="1" s="1"/>
  <c r="P33" i="1" s="1"/>
  <c r="E37" i="1"/>
  <c r="E34" i="1"/>
  <c r="F34" i="1" s="1"/>
  <c r="E26" i="1"/>
  <c r="F26" i="1" s="1"/>
  <c r="G26" i="1" s="1"/>
  <c r="K26" i="1" s="1"/>
  <c r="E48" i="1"/>
  <c r="F48" i="1" s="1"/>
  <c r="P48" i="1" s="1"/>
  <c r="E27" i="1"/>
  <c r="F27" i="1" s="1"/>
  <c r="G27" i="1" s="1"/>
  <c r="K27" i="1" s="1"/>
  <c r="E30" i="1"/>
  <c r="F30" i="1" s="1"/>
  <c r="G30" i="1" s="1"/>
  <c r="K30" i="1" s="1"/>
  <c r="E25" i="1"/>
  <c r="F25" i="1" s="1"/>
  <c r="P25" i="1" s="1"/>
  <c r="E22" i="1"/>
  <c r="F22" i="1" s="1"/>
  <c r="P22" i="1" s="1"/>
  <c r="E45" i="1"/>
  <c r="F45" i="1" s="1"/>
  <c r="G45" i="1" s="1"/>
  <c r="K45" i="1" s="1"/>
  <c r="W14" i="1"/>
  <c r="W16" i="1"/>
  <c r="W9" i="1"/>
  <c r="F17" i="1"/>
  <c r="W22" i="1"/>
  <c r="W12" i="1"/>
  <c r="W18" i="1"/>
  <c r="W20" i="1"/>
  <c r="G32" i="1"/>
  <c r="K32" i="1" s="1"/>
  <c r="P32" i="1"/>
  <c r="P23" i="1"/>
  <c r="G23" i="1"/>
  <c r="K23" i="1" s="1"/>
  <c r="P27" i="1"/>
  <c r="R27" i="1" s="1"/>
  <c r="T27" i="1" s="1"/>
  <c r="P26" i="1"/>
  <c r="R26" i="1" s="1"/>
  <c r="T26" i="1" s="1"/>
  <c r="E13" i="2"/>
  <c r="P31" i="1"/>
  <c r="R31" i="1" s="1"/>
  <c r="T31" i="1" s="1"/>
  <c r="W6" i="1"/>
  <c r="W15" i="1"/>
  <c r="P45" i="1"/>
  <c r="R45" i="1" s="1"/>
  <c r="T45" i="1" s="1"/>
  <c r="P21" i="1"/>
  <c r="R21" i="1" s="1"/>
  <c r="T21" i="1" s="1"/>
  <c r="W2" i="1"/>
  <c r="W5" i="1"/>
  <c r="G28" i="1" l="1"/>
  <c r="K28" i="1" s="1"/>
  <c r="G48" i="1"/>
  <c r="K48" i="1" s="1"/>
  <c r="P30" i="1"/>
  <c r="P38" i="1"/>
  <c r="P29" i="1"/>
  <c r="P35" i="1"/>
  <c r="R35" i="1" s="1"/>
  <c r="T35" i="1" s="1"/>
  <c r="P49" i="1"/>
  <c r="F42" i="1"/>
  <c r="E17" i="2"/>
  <c r="P51" i="1"/>
  <c r="R51" i="1" s="1"/>
  <c r="T51" i="1" s="1"/>
  <c r="P47" i="1"/>
  <c r="R47" i="1" s="1"/>
  <c r="T47" i="1" s="1"/>
  <c r="G36" i="1"/>
  <c r="K36" i="1" s="1"/>
  <c r="E14" i="2"/>
  <c r="F39" i="1"/>
  <c r="E11" i="2"/>
  <c r="F43" i="1"/>
  <c r="E18" i="2"/>
  <c r="F40" i="1"/>
  <c r="E15" i="2"/>
  <c r="G33" i="1"/>
  <c r="K33" i="1" s="1"/>
  <c r="G22" i="1"/>
  <c r="G25" i="1"/>
  <c r="K25" i="1" s="1"/>
  <c r="P24" i="1"/>
  <c r="R24" i="1" s="1"/>
  <c r="T24" i="1" s="1"/>
  <c r="G34" i="1"/>
  <c r="K34" i="1" s="1"/>
  <c r="P34" i="1"/>
  <c r="R34" i="1" s="1"/>
  <c r="T34" i="1" s="1"/>
  <c r="F41" i="1"/>
  <c r="E16" i="2"/>
  <c r="E12" i="2"/>
  <c r="F37" i="1"/>
  <c r="E20" i="2"/>
  <c r="F46" i="1"/>
  <c r="F44" i="1"/>
  <c r="E19" i="2"/>
  <c r="R38" i="1"/>
  <c r="T38" i="1" s="1"/>
  <c r="R29" i="1"/>
  <c r="T29" i="1" s="1"/>
  <c r="R23" i="1"/>
  <c r="T23" i="1" s="1"/>
  <c r="R33" i="1"/>
  <c r="T33" i="1" s="1"/>
  <c r="R30" i="1"/>
  <c r="T30" i="1" s="1"/>
  <c r="R32" i="1"/>
  <c r="T32" i="1" s="1"/>
  <c r="R49" i="1"/>
  <c r="T49" i="1" s="1"/>
  <c r="R28" i="1" l="1"/>
  <c r="T28" i="1" s="1"/>
  <c r="D15" i="1"/>
  <c r="C19" i="1" s="1"/>
  <c r="R48" i="1"/>
  <c r="T48" i="1" s="1"/>
  <c r="R36" i="1"/>
  <c r="T36" i="1" s="1"/>
  <c r="P39" i="1"/>
  <c r="G39" i="1"/>
  <c r="K39" i="1" s="1"/>
  <c r="P41" i="1"/>
  <c r="G41" i="1"/>
  <c r="K41" i="1" s="1"/>
  <c r="G40" i="1"/>
  <c r="K40" i="1" s="1"/>
  <c r="P40" i="1"/>
  <c r="R40" i="1" s="1"/>
  <c r="T40" i="1" s="1"/>
  <c r="G44" i="1"/>
  <c r="P44" i="1"/>
  <c r="P46" i="1"/>
  <c r="G46" i="1"/>
  <c r="J46" i="1" s="1"/>
  <c r="P43" i="1"/>
  <c r="G43" i="1"/>
  <c r="J43" i="1" s="1"/>
  <c r="G42" i="1"/>
  <c r="J42" i="1" s="1"/>
  <c r="P42" i="1"/>
  <c r="P37" i="1"/>
  <c r="G37" i="1"/>
  <c r="J37" i="1" s="1"/>
  <c r="K22" i="1"/>
  <c r="R22" i="1"/>
  <c r="T22" i="1" s="1"/>
  <c r="D16" i="1"/>
  <c r="D19" i="1" s="1"/>
  <c r="R25" i="1"/>
  <c r="T25" i="1" s="1"/>
  <c r="C12" i="1"/>
  <c r="C11" i="1"/>
  <c r="R44" i="1" l="1"/>
  <c r="T44" i="1" s="1"/>
  <c r="O50" i="1"/>
  <c r="C16" i="1"/>
  <c r="D18" i="1" s="1"/>
  <c r="O49" i="1"/>
  <c r="O46" i="1"/>
  <c r="O51" i="1"/>
  <c r="O43" i="1"/>
  <c r="O36" i="1"/>
  <c r="O45" i="1"/>
  <c r="O47" i="1"/>
  <c r="O40" i="1"/>
  <c r="O42" i="1"/>
  <c r="O37" i="1"/>
  <c r="O39" i="1"/>
  <c r="O38" i="1"/>
  <c r="C15" i="1"/>
  <c r="O44" i="1"/>
  <c r="O41" i="1"/>
  <c r="O48" i="1"/>
  <c r="R42" i="1"/>
  <c r="T42" i="1" s="1"/>
  <c r="K44" i="1"/>
  <c r="R43" i="1"/>
  <c r="T43" i="1" s="1"/>
  <c r="R41" i="1"/>
  <c r="T41" i="1" s="1"/>
  <c r="R46" i="1"/>
  <c r="T46" i="1" s="1"/>
  <c r="R39" i="1"/>
  <c r="T39" i="1" s="1"/>
  <c r="R37" i="1"/>
  <c r="T37" i="1" s="1"/>
  <c r="E14" i="1" l="1"/>
  <c r="C18" i="1"/>
  <c r="F18" i="1"/>
  <c r="F19" i="1" s="1"/>
</calcChain>
</file>

<file path=xl/sharedStrings.xml><?xml version="1.0" encoding="utf-8"?>
<sst xmlns="http://schemas.openxmlformats.org/spreadsheetml/2006/main" count="207" uniqueCount="130">
  <si>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</si>
  <si>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</si>
  <si>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</si>
  <si>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</si>
  <si>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</si>
  <si>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</si>
  <si>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</si>
  <si>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</si>
  <si>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</si>
  <si>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</si>
  <si>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</si>
  <si>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</si>
  <si>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</si>
  <si>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</si>
  <si>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</si>
  <si>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</si>
  <si>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</si>
  <si>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</si>
  <si>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</si>
  <si>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</si>
  <si>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</si>
  <si>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</si>
  <si>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</si>
  <si>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</si>
  <si>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</si>
  <si>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</si>
  <si>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</si>
  <si>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</si>
  <si>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</si>
  <si>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</si>
  <si>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</si>
  <si>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</si>
  <si>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</si>
  <si>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</si>
  <si>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</si>
  <si>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V0592 Lyr / GSC 2632-0319               </t>
  </si>
  <si>
    <t xml:space="preserve">EW        </t>
  </si>
  <si>
    <t>IBVS 5781</t>
  </si>
  <si>
    <t>II</t>
  </si>
  <si>
    <t>IBVS 5837</t>
  </si>
  <si>
    <t>IBVS 5952</t>
  </si>
  <si>
    <t>IBVS 5438</t>
  </si>
  <si>
    <t>IBVS 5653</t>
  </si>
  <si>
    <t>IBVS 5920</t>
  </si>
  <si>
    <t>IBVS 5945</t>
  </si>
  <si>
    <t>Add cycle</t>
  </si>
  <si>
    <t>Old Cycle</t>
  </si>
  <si>
    <t>IBVS 5232</t>
  </si>
  <si>
    <t>IBVS 5918</t>
  </si>
  <si>
    <t>IBVS 6010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</si>
  <si>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</si>
  <si>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</si>
  <si>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</si>
  <si>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</si>
  <si>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</si>
  <si>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</si>
  <si>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</si>
  <si>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</si>
  <si>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</si>
  <si>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</si>
  <si>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</si>
  <si>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</si>
  <si>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2454017.2705 </t>
  </si>
  <si>
    <t> 08.10.2006 18:29 </t>
  </si>
  <si>
    <t> 0.0074 </t>
  </si>
  <si>
    <t>C </t>
  </si>
  <si>
    <t>R</t>
  </si>
  <si>
    <t> E.Blättler </t>
  </si>
  <si>
    <t>IBVS 5781 </t>
  </si>
  <si>
    <t>2454387.3600 </t>
  </si>
  <si>
    <t> 13.10.2007 20:38 </t>
  </si>
  <si>
    <t> 0.0098 </t>
  </si>
  <si>
    <t>IBVS 5837 </t>
  </si>
  <si>
    <t>2454596.5001 </t>
  </si>
  <si>
    <t> 10.05.2008 00:00 </t>
  </si>
  <si>
    <t> 0.0088 </t>
  </si>
  <si>
    <t>-I</t>
  </si>
  <si>
    <t> M.&amp; K.Rätz </t>
  </si>
  <si>
    <t>BAVM 209 </t>
  </si>
  <si>
    <t>2455049.8215 </t>
  </si>
  <si>
    <t> 06.08.2009 07:42 </t>
  </si>
  <si>
    <t>8193.5</t>
  </si>
  <si>
    <t> 0.0135 </t>
  </si>
  <si>
    <t>IBVS 5920 </t>
  </si>
  <si>
    <t>2455104.4195 </t>
  </si>
  <si>
    <t> 29.09.2009 22:04 </t>
  </si>
  <si>
    <t>8347</t>
  </si>
  <si>
    <t> 0.0143 </t>
  </si>
  <si>
    <t> R.Nelson </t>
  </si>
  <si>
    <t>IBVS 5929 </t>
  </si>
  <si>
    <t>2455338.8124 </t>
  </si>
  <si>
    <t> 22.05.2010 07:29 </t>
  </si>
  <si>
    <t>9006</t>
  </si>
  <si>
    <t> 0.0128 </t>
  </si>
  <si>
    <t> R.Diethelm </t>
  </si>
  <si>
    <t>IBVS 5945 </t>
  </si>
  <si>
    <t>2455673.5112 </t>
  </si>
  <si>
    <t> 22.04.2011 00:16 </t>
  </si>
  <si>
    <t>9947</t>
  </si>
  <si>
    <t> 0.0148 </t>
  </si>
  <si>
    <t> F.Agerer </t>
  </si>
  <si>
    <t>BAVM 220 </t>
  </si>
  <si>
    <t>2455705.5241 </t>
  </si>
  <si>
    <t> 24.05.2011 00:34 </t>
  </si>
  <si>
    <t>10037</t>
  </si>
  <si>
    <t> 0.0164 </t>
  </si>
  <si>
    <t>2456087.8856 </t>
  </si>
  <si>
    <t> 09.06.2012 09:15 </t>
  </si>
  <si>
    <t>11112</t>
  </si>
  <si>
    <t> 0.0197 </t>
  </si>
  <si>
    <t>IBVS 6029 </t>
  </si>
  <si>
    <t>2457143.5612 </t>
  </si>
  <si>
    <t> 01.05.2015 01:28 </t>
  </si>
  <si>
    <t>14080</t>
  </si>
  <si>
    <t> 0.0311 </t>
  </si>
  <si>
    <t> W.Moschner &amp; P.Frank </t>
  </si>
  <si>
    <t>BAVM 241 (=IBVS 6157) </t>
  </si>
  <si>
    <t>IBVS 6157</t>
  </si>
  <si>
    <t>OEJV 0179</t>
  </si>
  <si>
    <t>RHN 2018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</si>
  <si>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</si>
  <si>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</si>
  <si>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</si>
  <si>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</si>
  <si>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Linear Ephemeris =</t>
  </si>
  <si>
    <t>Quad. Ephemeris =</t>
  </si>
  <si>
    <t>OEJV 0203</t>
  </si>
  <si>
    <t>JBAV, 63</t>
  </si>
  <si>
    <t>JAAVSO, 50, 255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</si>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</sst>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32" fillId="0" borderId="0"/>
    <xf numFmtId="0" fontId="21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8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4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42" applyFont="1" applyAlignment="1">
      <alignment vertical="center"/>
    </xf>
    <xf numFmtId="0" fontId="16" fillId="0" borderId="0" xfId="42" applyFont="1" applyAlignment="1">
      <alignment horizontal="center" vertical="center"/>
    </xf>
    <xf numFmtId="0" fontId="16" fillId="0" borderId="0" xfId="42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16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5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V592 Lyr - O-C Diagr.</a:t>
            </a:r>
          </a:p>
        </c:rich>
      </c:tx>
      <c:layout>
        <c:manualLayout>
          <c:xMode val="edge"/>
          <c:yMode val="edge"/>
          <c:x val="0.37744360902255641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1954887218045114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7E-4530-B601-5DAEFBC8A7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7E-4530-B601-5DAEFBC8A7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16">
                  <c:v>3.8325999994412996E-3</c:v>
                </c:pt>
                <c:pt idx="17">
                  <c:v>2.3873999962233938E-3</c:v>
                </c:pt>
                <c:pt idx="21">
                  <c:v>5.6661999988136813E-3</c:v>
                </c:pt>
                <c:pt idx="22">
                  <c:v>7.1051999984774739E-3</c:v>
                </c:pt>
                <c:pt idx="25">
                  <c:v>1.8240499994135462E-2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7E-4530-B601-5DAEFBC8A7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0">
                  <c:v>1.0019999972428195E-3</c:v>
                </c:pt>
                <c:pt idx="1">
                  <c:v>7.4704999860841781E-4</c:v>
                </c:pt>
                <c:pt idx="2">
                  <c:v>-1.1860500017064624E-3</c:v>
                </c:pt>
                <c:pt idx="3">
                  <c:v>-1.27500003145542E-4</c:v>
                </c:pt>
                <c:pt idx="4">
                  <c:v>-1.1512999990372919E-3</c:v>
                </c:pt>
                <c:pt idx="5">
                  <c:v>1.0440499972901307E-3</c:v>
                </c:pt>
                <c:pt idx="6">
                  <c:v>1.4757999961148016E-3</c:v>
                </c:pt>
                <c:pt idx="7">
                  <c:v>1.734349993057549E-3</c:v>
                </c:pt>
                <c:pt idx="8">
                  <c:v>-3.1215999988489784E-3</c:v>
                </c:pt>
                <c:pt idx="9">
                  <c:v>1.7105500010075048E-3</c:v>
                </c:pt>
                <c:pt idx="10">
                  <c:v>-1.9309000053908676E-3</c:v>
                </c:pt>
                <c:pt idx="11">
                  <c:v>0</c:v>
                </c:pt>
                <c:pt idx="12">
                  <c:v>2.4701500005903654E-3</c:v>
                </c:pt>
                <c:pt idx="13">
                  <c:v>-1.7030000017257407E-3</c:v>
                </c:pt>
                <c:pt idx="14">
                  <c:v>-2.6825000022654422E-3</c:v>
                </c:pt>
                <c:pt idx="15">
                  <c:v>2.3900499945739284E-3</c:v>
                </c:pt>
                <c:pt idx="18">
                  <c:v>5.9313499950803816E-3</c:v>
                </c:pt>
                <c:pt idx="19">
                  <c:v>6.6061999968951568E-3</c:v>
                </c:pt>
                <c:pt idx="20">
                  <c:v>4.4751000023097731E-3</c:v>
                </c:pt>
                <c:pt idx="23">
                  <c:v>9.4877000010455959E-3</c:v>
                </c:pt>
                <c:pt idx="24">
                  <c:v>1.7258649997529574E-2</c:v>
                </c:pt>
                <c:pt idx="26">
                  <c:v>3.03681500008679E-2</c:v>
                </c:pt>
                <c:pt idx="27">
                  <c:v>3.2630699999572244E-2</c:v>
                </c:pt>
                <c:pt idx="28">
                  <c:v>4.5524499997554813E-2</c:v>
                </c:pt>
                <c:pt idx="29">
                  <c:v>3.9882249999209307E-2</c:v>
                </c:pt>
                <c:pt idx="30">
                  <c:v>3.4905099993920885E-2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7E-4530-B601-5DAEFBC8A7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7E-4530-B601-5DAEFBC8A7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7E-4530-B601-5DAEFBC8A7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7E-4530-B601-5DAEFBC8A7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15">
                  <c:v>-7.8285433132788927E-3</c:v>
                </c:pt>
                <c:pt idx="16">
                  <c:v>-4.647713974195132E-3</c:v>
                </c:pt>
                <c:pt idx="17">
                  <c:v>-2.8501861977595251E-3</c:v>
                </c:pt>
                <c:pt idx="18">
                  <c:v>1.0459858278649356E-3</c:v>
                </c:pt>
                <c:pt idx="19">
                  <c:v>1.5152384021555262E-3</c:v>
                </c:pt>
                <c:pt idx="20">
                  <c:v>3.5298146005757064E-3</c:v>
                </c:pt>
                <c:pt idx="21">
                  <c:v>6.4064704468782714E-3</c:v>
                </c:pt>
                <c:pt idx="22">
                  <c:v>6.6816022493939239E-3</c:v>
                </c:pt>
                <c:pt idx="23">
                  <c:v>9.9678987794420207E-3</c:v>
                </c:pt>
                <c:pt idx="24">
                  <c:v>1.8663592248950672E-2</c:v>
                </c:pt>
                <c:pt idx="25">
                  <c:v>1.9041134222402709E-2</c:v>
                </c:pt>
                <c:pt idx="26">
                  <c:v>2.8583622239653994E-2</c:v>
                </c:pt>
                <c:pt idx="27">
                  <c:v>2.9318835556376377E-2</c:v>
                </c:pt>
                <c:pt idx="28">
                  <c:v>4.056255521918279E-2</c:v>
                </c:pt>
                <c:pt idx="29">
                  <c:v>4.1028750773445428E-2</c:v>
                </c:pt>
                <c:pt idx="30">
                  <c:v>4.1131160944381809E-2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7E-4530-B601-5DAEFBC8A725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Active!$V$2:$V$28</c:f>
              <c:numCache>
                <c:formatCode>General</c:formatCode>
                <c:ptCount val="27"/>
                <c:pt idx="0">
                  <c:v>-5000</c:v>
                </c:pt>
                <c:pt idx="1">
                  <c:v>-4000</c:v>
                </c:pt>
                <c:pt idx="2">
                  <c:v>-3000</c:v>
                </c:pt>
                <c:pt idx="3">
                  <c:v>-2000</c:v>
                </c:pt>
                <c:pt idx="4">
                  <c:v>-1000</c:v>
                </c:pt>
                <c:pt idx="5">
                  <c:v>0</c:v>
                </c:pt>
                <c:pt idx="6">
                  <c:v>1000</c:v>
                </c:pt>
                <c:pt idx="7">
                  <c:v>2000</c:v>
                </c:pt>
                <c:pt idx="8">
                  <c:v>3000</c:v>
                </c:pt>
                <c:pt idx="9">
                  <c:v>4000</c:v>
                </c:pt>
                <c:pt idx="10">
                  <c:v>5000</c:v>
                </c:pt>
                <c:pt idx="11">
                  <c:v>6000</c:v>
                </c:pt>
                <c:pt idx="12">
                  <c:v>7000</c:v>
                </c:pt>
                <c:pt idx="13">
                  <c:v>8000</c:v>
                </c:pt>
                <c:pt idx="14">
                  <c:v>9000</c:v>
                </c:pt>
                <c:pt idx="15">
                  <c:v>10000</c:v>
                </c:pt>
                <c:pt idx="16">
                  <c:v>11000</c:v>
                </c:pt>
                <c:pt idx="17">
                  <c:v>12000</c:v>
                </c:pt>
                <c:pt idx="18">
                  <c:v>13000</c:v>
                </c:pt>
                <c:pt idx="19">
                  <c:v>14000</c:v>
                </c:pt>
                <c:pt idx="20">
                  <c:v>15000</c:v>
                </c:pt>
                <c:pt idx="21">
                  <c:v>16000</c:v>
                </c:pt>
                <c:pt idx="22">
                  <c:v>17000</c:v>
                </c:pt>
                <c:pt idx="23">
                  <c:v>18000</c:v>
                </c:pt>
                <c:pt idx="24">
                  <c:v>19000</c:v>
                </c:pt>
                <c:pt idx="25">
                  <c:v>20000</c:v>
                </c:pt>
                <c:pt idx="26">
                  <c:v>21000</c:v>
                </c:pt>
              </c:numCache>
            </c:numRef>
          </c:xVal>
          <c:yVal>
            <c:numRef>
              <c:f>Active!$W$2:$W$28</c:f>
              <c:numCache>
                <c:formatCode>General</c:formatCode>
                <c:ptCount val="27"/>
                <c:pt idx="0">
                  <c:v>4.0182631564982599E-3</c:v>
                </c:pt>
                <c:pt idx="1">
                  <c:v>2.624647208812044E-3</c:v>
                </c:pt>
                <c:pt idx="2">
                  <c:v>1.4872528798509292E-3</c:v>
                </c:pt>
                <c:pt idx="3">
                  <c:v>6.0608016961491624E-4</c:v>
                </c:pt>
                <c:pt idx="4">
                  <c:v>-1.887092189599505E-5</c:v>
                </c:pt>
                <c:pt idx="5">
                  <c:v>-3.8760039468180453E-4</c:v>
                </c:pt>
                <c:pt idx="6">
                  <c:v>-5.0010824874251224E-4</c:v>
                </c:pt>
                <c:pt idx="7">
                  <c:v>-3.5639448407811831E-4</c:v>
                </c:pt>
                <c:pt idx="8">
                  <c:v>4.3540899311377435E-5</c:v>
                </c:pt>
                <c:pt idx="9">
                  <c:v>6.9969790142597509E-4</c:v>
                </c:pt>
                <c:pt idx="10">
                  <c:v>1.6120765222656741E-3</c:v>
                </c:pt>
                <c:pt idx="11">
                  <c:v>2.7806767618304747E-3</c:v>
                </c:pt>
                <c:pt idx="12">
                  <c:v>4.2054986201203771E-3</c:v>
                </c:pt>
                <c:pt idx="13">
                  <c:v>5.8865420971353829E-3</c:v>
                </c:pt>
                <c:pt idx="14">
                  <c:v>7.8238071928754885E-3</c:v>
                </c:pt>
                <c:pt idx="15">
                  <c:v>1.0017293907340696E-2</c:v>
                </c:pt>
                <c:pt idx="16">
                  <c:v>1.2467002240531004E-2</c:v>
                </c:pt>
                <c:pt idx="17">
                  <c:v>1.5172932192446417E-2</c:v>
                </c:pt>
                <c:pt idx="18">
                  <c:v>1.813508376308693E-2</c:v>
                </c:pt>
                <c:pt idx="19">
                  <c:v>2.1353456952452544E-2</c:v>
                </c:pt>
                <c:pt idx="20">
                  <c:v>2.4828051760543261E-2</c:v>
                </c:pt>
                <c:pt idx="21">
                  <c:v>2.8558868187359081E-2</c:v>
                </c:pt>
                <c:pt idx="22">
                  <c:v>3.2545906232899997E-2</c:v>
                </c:pt>
                <c:pt idx="23">
                  <c:v>3.6789165897166021E-2</c:v>
                </c:pt>
                <c:pt idx="24">
                  <c:v>4.1288647180157144E-2</c:v>
                </c:pt>
                <c:pt idx="25">
                  <c:v>4.6044350081873367E-2</c:v>
                </c:pt>
                <c:pt idx="26">
                  <c:v>5.1056274602314697E-2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7E-4530-B601-5DAEFBC8A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952040"/>
        <c:axId val="1"/>
      </c:scatterChart>
      <c:valAx>
        <c:axId val="445952040"/>
        <c:scaling>
          <c:orientation val="minMax"/>
          <c:max val="20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952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441860465116277"/>
          <c:w val="0.71879699248120299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E066C08-5BAE-8FC4-F2A5-C5CB82639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09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837" TargetMode="External"/><Relationship Id="rId1" Type="http://schemas.openxmlformats.org/officeDocument/2006/relationships/hyperlink" Target="http://www.konkoly.hu/cgi-bin/IBVS?5781" TargetMode="External"/><Relationship Id="rId6" Type="http://schemas.openxmlformats.org/officeDocument/2006/relationships/hyperlink" Target="http://www.konkoly.hu/cgi-bin/IBVS?5945" TargetMode="External"/><Relationship Id="rId5" Type="http://schemas.openxmlformats.org/officeDocument/2006/relationships/hyperlink" Target="http://www.konkoly.hu/cgi-bin/IBVS?5929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5920" TargetMode="External"/><Relationship Id="rId9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2"/>
  <sheetViews>
    <sheetView tabSelected="1" workbookViewId="0">
      <pane xSplit="14" ySplit="21" topLeftCell="O36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6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35</v>
      </c>
      <c r="F1" s="2">
        <v>52500.102700000003</v>
      </c>
      <c r="G1" s="2">
        <v>0.35568290000000002</v>
      </c>
      <c r="H1" s="2" t="s">
        <v>36</v>
      </c>
      <c r="V1" s="3" t="s">
        <v>8</v>
      </c>
      <c r="W1" s="4" t="s">
        <v>19</v>
      </c>
    </row>
    <row r="2" spans="1:23" s="26" customFormat="1" ht="12.95" customHeight="1" x14ac:dyDescent="0.2">
      <c r="A2" s="26" t="s">
        <v>21</v>
      </c>
      <c r="B2" s="26" t="str">
        <f>H1</f>
        <v xml:space="preserve">EW        </v>
      </c>
      <c r="C2" s="27"/>
      <c r="D2" s="27"/>
      <c r="V2" s="28">
        <v>-5000</v>
      </c>
      <c r="W2" s="28">
        <f>+D$11+D$12*V2+D$13*V2^2</f>
        <v>4.0182631564982599E-3</v>
      </c>
    </row>
    <row r="3" spans="1:23" s="26" customFormat="1" ht="12.95" customHeight="1" thickBot="1" x14ac:dyDescent="0.25">
      <c r="V3" s="28">
        <v>-4000</v>
      </c>
      <c r="W3" s="28">
        <f>+D$11+D$12*V3+D$13*V3^2</f>
        <v>2.624647208812044E-3</v>
      </c>
    </row>
    <row r="4" spans="1:23" s="26" customFormat="1" ht="12.95" customHeight="1" thickTop="1" thickBot="1" x14ac:dyDescent="0.25">
      <c r="A4" s="29" t="s">
        <v>34</v>
      </c>
      <c r="C4" s="30">
        <f>F1</f>
        <v>52500.102700000003</v>
      </c>
      <c r="D4" s="31">
        <f>G1</f>
        <v>0.35568290000000002</v>
      </c>
      <c r="V4" s="28">
        <v>-3000</v>
      </c>
      <c r="W4" s="28">
        <f t="shared" ref="W4:W23" si="0">+D$11+D$12*V4+D$13*V4^2</f>
        <v>1.4872528798509292E-3</v>
      </c>
    </row>
    <row r="5" spans="1:23" s="26" customFormat="1" ht="12.95" customHeight="1" thickTop="1" x14ac:dyDescent="0.2">
      <c r="A5" s="32" t="s">
        <v>26</v>
      </c>
      <c r="C5" s="33">
        <v>-9.5</v>
      </c>
      <c r="D5" s="26" t="s">
        <v>27</v>
      </c>
      <c r="V5" s="28">
        <v>-2000</v>
      </c>
      <c r="W5" s="28">
        <f t="shared" si="0"/>
        <v>6.0608016961491624E-4</v>
      </c>
    </row>
    <row r="6" spans="1:23" s="26" customFormat="1" ht="12.95" customHeight="1" x14ac:dyDescent="0.2">
      <c r="A6" s="29" t="s">
        <v>0</v>
      </c>
      <c r="V6" s="28">
        <v>-1000</v>
      </c>
      <c r="W6" s="28">
        <f t="shared" si="0"/>
        <v>-1.887092189599505E-5</v>
      </c>
    </row>
    <row r="7" spans="1:23" s="26" customFormat="1" ht="12.95" customHeight="1" x14ac:dyDescent="0.2">
      <c r="A7" s="26" t="s">
        <v>1</v>
      </c>
      <c r="C7" s="26">
        <f>C4</f>
        <v>52500.102700000003</v>
      </c>
      <c r="V7" s="28">
        <v>0</v>
      </c>
      <c r="W7" s="28">
        <f t="shared" si="0"/>
        <v>-3.8760039468180453E-4</v>
      </c>
    </row>
    <row r="8" spans="1:23" s="26" customFormat="1" ht="12.95" customHeight="1" x14ac:dyDescent="0.2">
      <c r="A8" s="26" t="s">
        <v>2</v>
      </c>
      <c r="C8" s="26">
        <f>D4</f>
        <v>0.35568290000000002</v>
      </c>
      <c r="D8" s="33"/>
      <c r="V8" s="28">
        <v>1000</v>
      </c>
      <c r="W8" s="28">
        <f t="shared" si="0"/>
        <v>-5.0010824874251224E-4</v>
      </c>
    </row>
    <row r="9" spans="1:23" s="26" customFormat="1" ht="12.95" customHeight="1" x14ac:dyDescent="0.2">
      <c r="A9" s="34" t="s">
        <v>31</v>
      </c>
      <c r="B9" s="35">
        <v>44</v>
      </c>
      <c r="C9" s="36" t="str">
        <f>"F"&amp;B9</f>
        <v>F44</v>
      </c>
      <c r="D9" s="37" t="str">
        <f>"G"&amp;B9</f>
        <v>G44</v>
      </c>
      <c r="V9" s="28">
        <v>2000</v>
      </c>
      <c r="W9" s="28">
        <f t="shared" si="0"/>
        <v>-3.5639448407811831E-4</v>
      </c>
    </row>
    <row r="10" spans="1:23" s="26" customFormat="1" ht="12.95" customHeight="1" thickBot="1" x14ac:dyDescent="0.25">
      <c r="C10" s="38" t="s">
        <v>17</v>
      </c>
      <c r="D10" s="38" t="s">
        <v>18</v>
      </c>
      <c r="V10" s="28">
        <v>3000</v>
      </c>
      <c r="W10" s="28">
        <f t="shared" si="0"/>
        <v>4.3540899311377435E-5</v>
      </c>
    </row>
    <row r="11" spans="1:23" s="26" customFormat="1" ht="12.95" customHeight="1" x14ac:dyDescent="0.2">
      <c r="A11" s="26" t="s">
        <v>13</v>
      </c>
      <c r="C11" s="37">
        <f ca="1">INTERCEPT(INDIRECT($D$9):G991,INDIRECT($C$9):F991)</f>
        <v>-2.0868262242506937E-2</v>
      </c>
      <c r="D11" s="27">
        <f>+E11*F11</f>
        <v>-3.8760039468180453E-4</v>
      </c>
      <c r="E11" s="39">
        <v>-3.8760039468180453E-4</v>
      </c>
      <c r="F11" s="26">
        <v>1</v>
      </c>
      <c r="V11" s="28">
        <v>4000</v>
      </c>
      <c r="W11" s="28">
        <f t="shared" si="0"/>
        <v>6.9969790142597509E-4</v>
      </c>
    </row>
    <row r="12" spans="1:23" s="26" customFormat="1" ht="12.95" customHeight="1" x14ac:dyDescent="0.2">
      <c r="A12" s="26" t="s">
        <v>14</v>
      </c>
      <c r="C12" s="37">
        <f ca="1">SLOPE(INDIRECT($D$9):G991,INDIRECT($C$9):F991)</f>
        <v>3.0570200279517157E-6</v>
      </c>
      <c r="D12" s="27">
        <f>+E12*F12</f>
        <v>-2.4061866342325862E-7</v>
      </c>
      <c r="E12" s="40">
        <v>-2.406186634232586E-3</v>
      </c>
      <c r="F12" s="41">
        <v>1E-4</v>
      </c>
      <c r="V12" s="28">
        <v>5000</v>
      </c>
      <c r="W12" s="28">
        <f t="shared" si="0"/>
        <v>1.6120765222656741E-3</v>
      </c>
    </row>
    <row r="13" spans="1:23" s="26" customFormat="1" ht="12.95" customHeight="1" thickBot="1" x14ac:dyDescent="0.25">
      <c r="A13" s="26" t="s">
        <v>16</v>
      </c>
      <c r="C13" s="27" t="s">
        <v>11</v>
      </c>
      <c r="D13" s="27">
        <f>+E13*F13</f>
        <v>1.2811080936255086E-10</v>
      </c>
      <c r="E13" s="42">
        <v>1.2811080936255086E-2</v>
      </c>
      <c r="F13" s="41">
        <v>1E-8</v>
      </c>
      <c r="V13" s="28">
        <v>6000</v>
      </c>
      <c r="W13" s="28">
        <f t="shared" si="0"/>
        <v>2.7806767618304747E-3</v>
      </c>
    </row>
    <row r="14" spans="1:23" s="26" customFormat="1" ht="12.95" customHeight="1" x14ac:dyDescent="0.2">
      <c r="E14" s="26">
        <f>SUM(T21:T949)</f>
        <v>2.8312508523075562E-4</v>
      </c>
      <c r="V14" s="28">
        <v>7000</v>
      </c>
      <c r="W14" s="28">
        <f t="shared" si="0"/>
        <v>4.2054986201203771E-3</v>
      </c>
    </row>
    <row r="15" spans="1:23" s="26" customFormat="1" ht="12.95" customHeight="1" x14ac:dyDescent="0.2">
      <c r="A15" s="43" t="s">
        <v>15</v>
      </c>
      <c r="C15" s="44">
        <f ca="1">(C7+C11)+(C8+C12)*INT(MAX(F21:F3532))</f>
        <v>59713.748726060949</v>
      </c>
      <c r="D15" s="37">
        <f>+C7+INT(MAX(F21:F1587))*C8+D11+D12*INT(MAX(F21:F4022))+D13*INT(MAX(F21:F4049)^2)</f>
        <v>59713.755021717494</v>
      </c>
      <c r="E15" s="45" t="s">
        <v>45</v>
      </c>
      <c r="F15" s="33">
        <v>1</v>
      </c>
      <c r="V15" s="28">
        <v>8000</v>
      </c>
      <c r="W15" s="28">
        <f t="shared" si="0"/>
        <v>5.8865420971353829E-3</v>
      </c>
    </row>
    <row r="16" spans="1:23" s="26" customFormat="1" ht="12.95" customHeight="1" x14ac:dyDescent="0.2">
      <c r="A16" s="29" t="s">
        <v>3</v>
      </c>
      <c r="C16" s="46">
        <f ca="1">+C8+C12</f>
        <v>0.35568595702002798</v>
      </c>
      <c r="D16" s="37">
        <f>+C8+D12+2*D13*MAX(F21:F895)</f>
        <v>0.35568785581198598</v>
      </c>
      <c r="E16" s="45" t="s">
        <v>28</v>
      </c>
      <c r="F16" s="47">
        <f ca="1">NOW()+15018.5+$C$5/24</f>
        <v>60312.786207870369</v>
      </c>
      <c r="V16" s="28">
        <v>9000</v>
      </c>
      <c r="W16" s="28">
        <f t="shared" si="0"/>
        <v>7.8238071928754885E-3</v>
      </c>
    </row>
    <row r="17" spans="1:23" s="26" customFormat="1" ht="12.95" customHeight="1" thickBot="1" x14ac:dyDescent="0.25">
      <c r="A17" s="45" t="s">
        <v>25</v>
      </c>
      <c r="C17" s="26">
        <f>COUNT(C21:C2190)</f>
        <v>31</v>
      </c>
      <c r="E17" s="45" t="s">
        <v>46</v>
      </c>
      <c r="F17" s="47">
        <f ca="1">ROUND(2*(F16-$C$7)/$C$8,0)/2+F15</f>
        <v>21966.5</v>
      </c>
      <c r="V17" s="28">
        <v>10000</v>
      </c>
      <c r="W17" s="28">
        <f t="shared" si="0"/>
        <v>1.0017293907340696E-2</v>
      </c>
    </row>
    <row r="18" spans="1:23" s="26" customFormat="1" ht="12.95" customHeight="1" thickTop="1" thickBot="1" x14ac:dyDescent="0.25">
      <c r="A18" s="29" t="s">
        <v>124</v>
      </c>
      <c r="C18" s="48">
        <f ca="1">+C15</f>
        <v>59713.748726060949</v>
      </c>
      <c r="D18" s="49">
        <f ca="1">C16</f>
        <v>0.35568595702002798</v>
      </c>
      <c r="E18" s="45" t="s">
        <v>29</v>
      </c>
      <c r="F18" s="37">
        <f ca="1">ROUND(2*(F16-$C$15)/$C$16,0)/2+F15</f>
        <v>1685</v>
      </c>
      <c r="V18" s="28">
        <v>11000</v>
      </c>
      <c r="W18" s="28">
        <f t="shared" si="0"/>
        <v>1.2467002240531004E-2</v>
      </c>
    </row>
    <row r="19" spans="1:23" s="26" customFormat="1" ht="12.95" customHeight="1" thickBot="1" x14ac:dyDescent="0.25">
      <c r="A19" s="29" t="s">
        <v>125</v>
      </c>
      <c r="C19" s="50">
        <f>+D15</f>
        <v>59713.755021717494</v>
      </c>
      <c r="D19" s="51">
        <f>+D16</f>
        <v>0.35568785581198598</v>
      </c>
      <c r="E19" s="45" t="s">
        <v>30</v>
      </c>
      <c r="F19" s="52">
        <f ca="1">+$C$15+$C$16*F18-15018.5-$C$5/24</f>
        <v>45294.97539697303</v>
      </c>
      <c r="V19" s="28">
        <v>12000</v>
      </c>
      <c r="W19" s="28">
        <f t="shared" si="0"/>
        <v>1.5172932192446417E-2</v>
      </c>
    </row>
    <row r="20" spans="1:23" s="26" customFormat="1" ht="12.95" customHeight="1" thickBot="1" x14ac:dyDescent="0.25">
      <c r="A20" s="38" t="s">
        <v>4</v>
      </c>
      <c r="B20" s="38" t="s">
        <v>5</v>
      </c>
      <c r="C20" s="38" t="s">
        <v>6</v>
      </c>
      <c r="D20" s="38" t="s">
        <v>10</v>
      </c>
      <c r="E20" s="38" t="s">
        <v>7</v>
      </c>
      <c r="F20" s="38" t="s">
        <v>8</v>
      </c>
      <c r="G20" s="38" t="s">
        <v>9</v>
      </c>
      <c r="H20" s="53" t="s">
        <v>58</v>
      </c>
      <c r="I20" s="53" t="s">
        <v>61</v>
      </c>
      <c r="J20" s="53" t="s">
        <v>55</v>
      </c>
      <c r="K20" s="53" t="s">
        <v>53</v>
      </c>
      <c r="L20" s="53" t="s">
        <v>22</v>
      </c>
      <c r="M20" s="53" t="s">
        <v>23</v>
      </c>
      <c r="N20" s="53" t="s">
        <v>24</v>
      </c>
      <c r="O20" s="53" t="s">
        <v>20</v>
      </c>
      <c r="P20" s="54" t="s">
        <v>19</v>
      </c>
      <c r="Q20" s="38" t="s">
        <v>12</v>
      </c>
      <c r="R20" s="53" t="s">
        <v>120</v>
      </c>
      <c r="S20" s="55" t="s">
        <v>121</v>
      </c>
      <c r="T20" s="53" t="s">
        <v>122</v>
      </c>
      <c r="U20" s="56" t="s">
        <v>123</v>
      </c>
      <c r="V20" s="28">
        <v>13000</v>
      </c>
      <c r="W20" s="28">
        <f t="shared" si="0"/>
        <v>1.813508376308693E-2</v>
      </c>
    </row>
    <row r="21" spans="1:23" s="26" customFormat="1" ht="12.95" customHeight="1" x14ac:dyDescent="0.2">
      <c r="A21" s="7" t="s">
        <v>47</v>
      </c>
      <c r="B21" s="8" t="s">
        <v>32</v>
      </c>
      <c r="C21" s="7">
        <v>51297.895499999999</v>
      </c>
      <c r="D21" s="7">
        <v>8.0000000000000004E-4</v>
      </c>
      <c r="E21" s="26">
        <f t="shared" ref="E21:E51" si="1">+(C21-C$7)/C$8</f>
        <v>-3379.9971828839798</v>
      </c>
      <c r="F21" s="26">
        <f t="shared" ref="F21:F51" si="2">ROUND(2*E21,0)/2</f>
        <v>-3380</v>
      </c>
      <c r="G21" s="26">
        <f t="shared" ref="G21:G51" si="3">+C21-(C$7+F21*C$8)</f>
        <v>1.0019999972428195E-3</v>
      </c>
      <c r="K21" s="26">
        <f t="shared" ref="K21:K36" si="4">+G21</f>
        <v>1.0019999972428195E-3</v>
      </c>
      <c r="P21" s="34">
        <f t="shared" ref="P21:P51" si="5">+D$11+D$12*F21+D$13*F21^2</f>
        <v>1.8892798181703357E-3</v>
      </c>
      <c r="Q21" s="57">
        <f t="shared" ref="Q21:Q51" si="6">+C21-15018.5</f>
        <v>36279.395499999999</v>
      </c>
      <c r="R21" s="28">
        <f t="shared" ref="R21:R51" si="7">+(P21-G21)^2</f>
        <v>7.8726548062516526E-7</v>
      </c>
      <c r="S21" s="58">
        <v>1</v>
      </c>
      <c r="T21" s="28">
        <f t="shared" ref="T21:T51" si="8">+S21*R21</f>
        <v>7.8726548062516526E-7</v>
      </c>
      <c r="V21" s="28">
        <v>14000</v>
      </c>
      <c r="W21" s="28">
        <f t="shared" si="0"/>
        <v>2.1353456952452544E-2</v>
      </c>
    </row>
    <row r="22" spans="1:23" s="26" customFormat="1" ht="12.95" customHeight="1" x14ac:dyDescent="0.2">
      <c r="A22" s="7" t="s">
        <v>47</v>
      </c>
      <c r="B22" s="8" t="s">
        <v>38</v>
      </c>
      <c r="C22" s="7">
        <v>52121.478999999999</v>
      </c>
      <c r="D22" s="7">
        <v>5.9999999999999995E-4</v>
      </c>
      <c r="E22" s="26">
        <f t="shared" si="1"/>
        <v>-1064.4978996741302</v>
      </c>
      <c r="F22" s="26">
        <f t="shared" si="2"/>
        <v>-1064.5</v>
      </c>
      <c r="G22" s="26">
        <f t="shared" si="3"/>
        <v>7.4704999860841781E-4</v>
      </c>
      <c r="K22" s="26">
        <f t="shared" si="4"/>
        <v>7.4704999860841781E-4</v>
      </c>
      <c r="P22" s="34">
        <f t="shared" si="5"/>
        <v>1.3708249297224762E-5</v>
      </c>
      <c r="Q22" s="57">
        <f t="shared" si="6"/>
        <v>37102.978999999999</v>
      </c>
      <c r="R22" s="28">
        <f t="shared" si="7"/>
        <v>5.3779012128280071E-7</v>
      </c>
      <c r="S22" s="58">
        <v>1</v>
      </c>
      <c r="T22" s="28">
        <f t="shared" si="8"/>
        <v>5.3779012128280071E-7</v>
      </c>
      <c r="V22" s="28">
        <v>15000</v>
      </c>
      <c r="W22" s="28">
        <f t="shared" si="0"/>
        <v>2.4828051760543261E-2</v>
      </c>
    </row>
    <row r="23" spans="1:23" s="26" customFormat="1" ht="12.95" customHeight="1" x14ac:dyDescent="0.2">
      <c r="A23" s="7" t="s">
        <v>47</v>
      </c>
      <c r="B23" s="8" t="s">
        <v>38</v>
      </c>
      <c r="C23" s="7">
        <v>52135.348700000002</v>
      </c>
      <c r="D23" s="7">
        <v>2.0000000000000001E-4</v>
      </c>
      <c r="E23" s="26">
        <f t="shared" si="1"/>
        <v>-1025.5033345713296</v>
      </c>
      <c r="F23" s="26">
        <f t="shared" si="2"/>
        <v>-1025.5</v>
      </c>
      <c r="G23" s="26">
        <f t="shared" si="3"/>
        <v>-1.1860500017064624E-3</v>
      </c>
      <c r="K23" s="26">
        <f t="shared" si="4"/>
        <v>-1.1860500017064624E-3</v>
      </c>
      <c r="P23" s="34">
        <f t="shared" si="5"/>
        <v>-6.1181906474238712E-6</v>
      </c>
      <c r="Q23" s="57">
        <f t="shared" si="6"/>
        <v>37116.848700000002</v>
      </c>
      <c r="R23" s="28">
        <f t="shared" si="7"/>
        <v>1.3922390787490624E-6</v>
      </c>
      <c r="S23" s="58">
        <v>1</v>
      </c>
      <c r="T23" s="28">
        <f t="shared" si="8"/>
        <v>1.3922390787490624E-6</v>
      </c>
      <c r="V23" s="28">
        <v>16000</v>
      </c>
      <c r="W23" s="28">
        <f t="shared" si="0"/>
        <v>2.8558868187359081E-2</v>
      </c>
    </row>
    <row r="24" spans="1:23" s="26" customFormat="1" ht="12.95" customHeight="1" x14ac:dyDescent="0.2">
      <c r="A24" s="7" t="s">
        <v>47</v>
      </c>
      <c r="B24" s="8" t="s">
        <v>32</v>
      </c>
      <c r="C24" s="9">
        <v>52135.527600000001</v>
      </c>
      <c r="D24" s="9">
        <v>1.6000000000000001E-3</v>
      </c>
      <c r="E24" s="26">
        <f t="shared" si="1"/>
        <v>-1025.0003584653684</v>
      </c>
      <c r="F24" s="26">
        <f t="shared" si="2"/>
        <v>-1025</v>
      </c>
      <c r="G24" s="26">
        <f t="shared" si="3"/>
        <v>-1.27500003145542E-4</v>
      </c>
      <c r="K24" s="26">
        <f t="shared" si="4"/>
        <v>-1.27500003145542E-4</v>
      </c>
      <c r="P24" s="34">
        <f t="shared" si="5"/>
        <v>-6.3698455864344427E-6</v>
      </c>
      <c r="Q24" s="57">
        <f t="shared" si="6"/>
        <v>37117.027600000001</v>
      </c>
      <c r="R24" s="28">
        <f t="shared" si="7"/>
        <v>1.4672515070294221E-8</v>
      </c>
      <c r="S24" s="58">
        <v>1</v>
      </c>
      <c r="T24" s="28">
        <f t="shared" si="8"/>
        <v>1.4672515070294221E-8</v>
      </c>
      <c r="V24" s="28">
        <v>17000</v>
      </c>
      <c r="W24" s="28">
        <f>+D$11+D$12*V24+D$13*V24^2</f>
        <v>3.2545906232899997E-2</v>
      </c>
    </row>
    <row r="25" spans="1:23" s="26" customFormat="1" ht="12.95" customHeight="1" x14ac:dyDescent="0.2">
      <c r="A25" s="7" t="s">
        <v>47</v>
      </c>
      <c r="B25" s="8" t="s">
        <v>32</v>
      </c>
      <c r="C25" s="7">
        <v>52143.351600000002</v>
      </c>
      <c r="D25" s="7">
        <v>1.4E-3</v>
      </c>
      <c r="E25" s="26">
        <f t="shared" si="1"/>
        <v>-1003.0032368719477</v>
      </c>
      <c r="F25" s="26">
        <f t="shared" si="2"/>
        <v>-1003</v>
      </c>
      <c r="G25" s="26">
        <f t="shared" si="3"/>
        <v>-1.1512999990372919E-3</v>
      </c>
      <c r="K25" s="26">
        <f t="shared" si="4"/>
        <v>-1.1512999990372919E-3</v>
      </c>
      <c r="P25" s="34">
        <f t="shared" si="5"/>
        <v>-1.7379248052265696E-5</v>
      </c>
      <c r="Q25" s="57">
        <f t="shared" si="6"/>
        <v>37124.851600000002</v>
      </c>
      <c r="R25" s="28">
        <f t="shared" si="7"/>
        <v>1.2857762695144457E-6</v>
      </c>
      <c r="S25" s="58">
        <v>1</v>
      </c>
      <c r="T25" s="28">
        <f t="shared" si="8"/>
        <v>1.2857762695144457E-6</v>
      </c>
      <c r="V25" s="28">
        <v>18000</v>
      </c>
      <c r="W25" s="28">
        <f>+D$11+D$12*V25+D$13*V25^2</f>
        <v>3.6789165897166021E-2</v>
      </c>
    </row>
    <row r="26" spans="1:23" s="26" customFormat="1" ht="12.95" customHeight="1" x14ac:dyDescent="0.2">
      <c r="A26" s="7" t="s">
        <v>47</v>
      </c>
      <c r="B26" s="8" t="s">
        <v>38</v>
      </c>
      <c r="C26" s="7">
        <v>52146.377099999998</v>
      </c>
      <c r="D26" s="7">
        <v>8.9999999999999998E-4</v>
      </c>
      <c r="E26" s="26">
        <f t="shared" si="1"/>
        <v>-994.49706466069972</v>
      </c>
      <c r="F26" s="26">
        <f t="shared" si="2"/>
        <v>-994.5</v>
      </c>
      <c r="G26" s="26">
        <f t="shared" si="3"/>
        <v>1.0440499972901307E-3</v>
      </c>
      <c r="K26" s="26">
        <f t="shared" si="4"/>
        <v>1.0440499972901307E-3</v>
      </c>
      <c r="P26" s="34">
        <f t="shared" si="5"/>
        <v>-2.1599668095827814E-5</v>
      </c>
      <c r="Q26" s="57">
        <f t="shared" si="6"/>
        <v>37127.877099999998</v>
      </c>
      <c r="R26" s="28">
        <f t="shared" si="7"/>
        <v>1.1356092093372053E-6</v>
      </c>
      <c r="S26" s="58">
        <v>1</v>
      </c>
      <c r="T26" s="28">
        <f t="shared" si="8"/>
        <v>1.1356092093372053E-6</v>
      </c>
      <c r="V26" s="28">
        <v>19000</v>
      </c>
      <c r="W26" s="28">
        <f>+D$11+D$12*V26+D$13*V26^2</f>
        <v>4.1288647180157144E-2</v>
      </c>
    </row>
    <row r="27" spans="1:23" s="26" customFormat="1" ht="12.95" customHeight="1" x14ac:dyDescent="0.2">
      <c r="A27" s="7" t="s">
        <v>47</v>
      </c>
      <c r="B27" s="8" t="s">
        <v>32</v>
      </c>
      <c r="C27" s="7">
        <v>52179.278200000001</v>
      </c>
      <c r="D27" s="7">
        <v>1.1999999999999999E-3</v>
      </c>
      <c r="E27" s="26">
        <f t="shared" si="1"/>
        <v>-901.99585079856922</v>
      </c>
      <c r="F27" s="26">
        <f t="shared" si="2"/>
        <v>-902</v>
      </c>
      <c r="G27" s="26">
        <f t="shared" si="3"/>
        <v>1.4757999961148016E-3</v>
      </c>
      <c r="K27" s="26">
        <f t="shared" si="4"/>
        <v>1.4757999961148016E-3</v>
      </c>
      <c r="P27" s="34">
        <f t="shared" si="5"/>
        <v>-6.6330893333416433E-5</v>
      </c>
      <c r="Q27" s="57">
        <f t="shared" si="6"/>
        <v>37160.778200000001</v>
      </c>
      <c r="R27" s="28">
        <f t="shared" si="7"/>
        <v>2.378167680190352E-6</v>
      </c>
      <c r="S27" s="58">
        <v>1</v>
      </c>
      <c r="T27" s="28">
        <f t="shared" si="8"/>
        <v>2.378167680190352E-6</v>
      </c>
      <c r="V27" s="59">
        <v>20000</v>
      </c>
      <c r="W27" s="59">
        <f>+D$11+D$12*V27+D$13*V27^2</f>
        <v>4.6044350081873367E-2</v>
      </c>
    </row>
    <row r="28" spans="1:23" s="26" customFormat="1" ht="12.95" customHeight="1" x14ac:dyDescent="0.2">
      <c r="A28" s="7" t="s">
        <v>47</v>
      </c>
      <c r="B28" s="8" t="s">
        <v>38</v>
      </c>
      <c r="C28" s="7">
        <v>52179.456299999998</v>
      </c>
      <c r="D28" s="7">
        <v>5.0000000000000001E-4</v>
      </c>
      <c r="E28" s="26">
        <f t="shared" si="1"/>
        <v>-901.49512388704954</v>
      </c>
      <c r="F28" s="26">
        <f t="shared" si="2"/>
        <v>-901.5</v>
      </c>
      <c r="G28" s="26">
        <f t="shared" si="3"/>
        <v>1.734349993057549E-3</v>
      </c>
      <c r="K28" s="26">
        <f t="shared" si="4"/>
        <v>1.734349993057549E-3</v>
      </c>
      <c r="P28" s="34">
        <f t="shared" si="5"/>
        <v>-6.6566726587470744E-5</v>
      </c>
      <c r="Q28" s="57">
        <f t="shared" si="6"/>
        <v>37160.956299999998</v>
      </c>
      <c r="R28" s="28">
        <f t="shared" si="7"/>
        <v>3.2433010310969789E-6</v>
      </c>
      <c r="S28" s="58">
        <v>1</v>
      </c>
      <c r="T28" s="28">
        <f t="shared" si="8"/>
        <v>3.2433010310969789E-6</v>
      </c>
      <c r="V28" s="59">
        <v>21000</v>
      </c>
      <c r="W28" s="59">
        <f>+D$11+D$12*V28+D$13*V28^2</f>
        <v>5.1056274602314697E-2</v>
      </c>
    </row>
    <row r="29" spans="1:23" s="26" customFormat="1" ht="12.95" customHeight="1" x14ac:dyDescent="0.2">
      <c r="A29" s="7" t="s">
        <v>47</v>
      </c>
      <c r="B29" s="8" t="s">
        <v>32</v>
      </c>
      <c r="C29" s="7">
        <v>52181.407700000003</v>
      </c>
      <c r="D29" s="7">
        <v>1.5E-3</v>
      </c>
      <c r="E29" s="26">
        <f t="shared" si="1"/>
        <v>-896.00877635669212</v>
      </c>
      <c r="F29" s="26">
        <f t="shared" si="2"/>
        <v>-896</v>
      </c>
      <c r="G29" s="26">
        <f t="shared" si="3"/>
        <v>-3.1215999988489784E-3</v>
      </c>
      <c r="K29" s="26">
        <f t="shared" si="4"/>
        <v>-3.1215999988489784E-3</v>
      </c>
      <c r="P29" s="34">
        <f t="shared" si="5"/>
        <v>-6.9156664725359188E-5</v>
      </c>
      <c r="Q29" s="57">
        <f t="shared" si="6"/>
        <v>37162.907700000003</v>
      </c>
      <c r="R29" s="28">
        <f t="shared" si="7"/>
        <v>9.3174103080357156E-6</v>
      </c>
      <c r="S29" s="58">
        <v>1</v>
      </c>
      <c r="T29" s="28">
        <f t="shared" si="8"/>
        <v>9.3174103080357156E-6</v>
      </c>
      <c r="V29" s="28"/>
      <c r="W29" s="28"/>
    </row>
    <row r="30" spans="1:23" s="26" customFormat="1" ht="12.95" customHeight="1" x14ac:dyDescent="0.2">
      <c r="A30" s="7" t="s">
        <v>47</v>
      </c>
      <c r="B30" s="8" t="s">
        <v>38</v>
      </c>
      <c r="C30" s="7">
        <v>52187.281300000002</v>
      </c>
      <c r="D30" s="7">
        <v>8.9999999999999998E-4</v>
      </c>
      <c r="E30" s="26">
        <f t="shared" si="1"/>
        <v>-879.49519080057178</v>
      </c>
      <c r="F30" s="26">
        <f t="shared" si="2"/>
        <v>-879.5</v>
      </c>
      <c r="G30" s="26">
        <f t="shared" si="3"/>
        <v>1.7105500010075048E-3</v>
      </c>
      <c r="K30" s="26">
        <f t="shared" si="4"/>
        <v>1.7105500010075048E-3</v>
      </c>
      <c r="P30" s="34">
        <f t="shared" si="5"/>
        <v>-7.6879974915225894E-5</v>
      </c>
      <c r="Q30" s="57">
        <f t="shared" si="6"/>
        <v>37168.781300000002</v>
      </c>
      <c r="R30" s="28">
        <f t="shared" si="7"/>
        <v>3.1949059188271338E-6</v>
      </c>
      <c r="S30" s="58">
        <v>1</v>
      </c>
      <c r="T30" s="28">
        <f t="shared" si="8"/>
        <v>3.1949059188271338E-6</v>
      </c>
      <c r="V30" s="28"/>
    </row>
    <row r="31" spans="1:23" s="26" customFormat="1" ht="12.95" customHeight="1" x14ac:dyDescent="0.2">
      <c r="A31" s="7" t="s">
        <v>47</v>
      </c>
      <c r="B31" s="8" t="s">
        <v>32</v>
      </c>
      <c r="C31" s="7">
        <v>52187.455499999996</v>
      </c>
      <c r="D31" s="7">
        <v>2.8E-3</v>
      </c>
      <c r="E31" s="26">
        <f t="shared" si="1"/>
        <v>-879.0054287119417</v>
      </c>
      <c r="F31" s="26">
        <f t="shared" si="2"/>
        <v>-879</v>
      </c>
      <c r="G31" s="26">
        <f t="shared" si="3"/>
        <v>-1.9309000053908676E-3</v>
      </c>
      <c r="K31" s="26">
        <f t="shared" si="4"/>
        <v>-1.9309000053908676E-3</v>
      </c>
      <c r="P31" s="34">
        <f t="shared" si="5"/>
        <v>-7.7112925676069559E-5</v>
      </c>
      <c r="Q31" s="57">
        <f t="shared" si="6"/>
        <v>37168.955499999996</v>
      </c>
      <c r="R31" s="28">
        <f t="shared" si="7"/>
        <v>3.4365265369175194E-6</v>
      </c>
      <c r="S31" s="58">
        <v>1</v>
      </c>
      <c r="T31" s="28">
        <f t="shared" si="8"/>
        <v>3.4365265369175194E-6</v>
      </c>
      <c r="V31" s="28"/>
    </row>
    <row r="32" spans="1:23" s="26" customFormat="1" ht="12.95" customHeight="1" x14ac:dyDescent="0.2">
      <c r="A32" s="7" t="s">
        <v>33</v>
      </c>
      <c r="B32" s="8" t="s">
        <v>32</v>
      </c>
      <c r="C32" s="7">
        <v>52500.102700000003</v>
      </c>
      <c r="D32" s="60"/>
      <c r="E32" s="26">
        <f t="shared" si="1"/>
        <v>0</v>
      </c>
      <c r="F32" s="26">
        <f t="shared" si="2"/>
        <v>0</v>
      </c>
      <c r="G32" s="26">
        <f t="shared" si="3"/>
        <v>0</v>
      </c>
      <c r="K32" s="26">
        <f t="shared" si="4"/>
        <v>0</v>
      </c>
      <c r="P32" s="34">
        <f t="shared" si="5"/>
        <v>-3.8760039468180453E-4</v>
      </c>
      <c r="Q32" s="61">
        <f t="shared" si="6"/>
        <v>37481.602700000003</v>
      </c>
      <c r="R32" s="28">
        <f t="shared" si="7"/>
        <v>1.5023406595749064E-7</v>
      </c>
      <c r="S32" s="58">
        <v>1</v>
      </c>
      <c r="T32" s="28">
        <f t="shared" si="8"/>
        <v>1.5023406595749064E-7</v>
      </c>
      <c r="U32" s="62"/>
      <c r="V32" s="28"/>
    </row>
    <row r="33" spans="1:20" s="26" customFormat="1" ht="12.95" customHeight="1" x14ac:dyDescent="0.2">
      <c r="A33" s="7" t="s">
        <v>41</v>
      </c>
      <c r="B33" s="8" t="s">
        <v>38</v>
      </c>
      <c r="C33" s="7">
        <v>52783.406600000002</v>
      </c>
      <c r="D33" s="7">
        <v>8.9999999999999998E-4</v>
      </c>
      <c r="E33" s="26">
        <f t="shared" si="1"/>
        <v>796.50694480954508</v>
      </c>
      <c r="F33" s="26">
        <f t="shared" si="2"/>
        <v>796.5</v>
      </c>
      <c r="G33" s="26">
        <f t="shared" si="3"/>
        <v>2.4701500005903654E-3</v>
      </c>
      <c r="K33" s="26">
        <f t="shared" si="4"/>
        <v>2.4701500005903654E-3</v>
      </c>
      <c r="P33" s="34">
        <f t="shared" si="5"/>
        <v>-4.9797809328141302E-4</v>
      </c>
      <c r="Q33" s="57">
        <f t="shared" si="6"/>
        <v>37764.906600000002</v>
      </c>
      <c r="R33" s="28">
        <f t="shared" si="7"/>
        <v>8.8097843816309158E-6</v>
      </c>
      <c r="S33" s="58">
        <v>1</v>
      </c>
      <c r="T33" s="28">
        <f t="shared" si="8"/>
        <v>8.8097843816309158E-6</v>
      </c>
    </row>
    <row r="34" spans="1:20" s="26" customFormat="1" ht="12.95" customHeight="1" x14ac:dyDescent="0.2">
      <c r="A34" s="7" t="s">
        <v>42</v>
      </c>
      <c r="B34" s="8" t="s">
        <v>32</v>
      </c>
      <c r="C34" s="7">
        <v>53236.364600000001</v>
      </c>
      <c r="D34" s="7">
        <v>5.0000000000000001E-4</v>
      </c>
      <c r="E34" s="26">
        <f t="shared" si="1"/>
        <v>2069.9952120273356</v>
      </c>
      <c r="F34" s="26">
        <f t="shared" si="2"/>
        <v>2070</v>
      </c>
      <c r="G34" s="26">
        <f t="shared" si="3"/>
        <v>-1.7030000017257407E-3</v>
      </c>
      <c r="K34" s="26">
        <f t="shared" si="4"/>
        <v>-1.7030000017257407E-3</v>
      </c>
      <c r="P34" s="34">
        <f t="shared" si="5"/>
        <v>-3.3673902093035572E-4</v>
      </c>
      <c r="Q34" s="57">
        <f t="shared" si="6"/>
        <v>38217.864600000001</v>
      </c>
      <c r="R34" s="28">
        <f t="shared" si="7"/>
        <v>1.8666690676439674E-6</v>
      </c>
      <c r="S34" s="58">
        <v>1</v>
      </c>
      <c r="T34" s="28">
        <f t="shared" si="8"/>
        <v>1.8666690676439674E-6</v>
      </c>
    </row>
    <row r="35" spans="1:20" s="26" customFormat="1" ht="12.95" customHeight="1" x14ac:dyDescent="0.2">
      <c r="A35" s="7" t="s">
        <v>42</v>
      </c>
      <c r="B35" s="8" t="s">
        <v>32</v>
      </c>
      <c r="C35" s="7">
        <v>53540.472500000003</v>
      </c>
      <c r="D35" s="7">
        <v>1.9E-3</v>
      </c>
      <c r="E35" s="26">
        <f t="shared" si="1"/>
        <v>2924.9924581699047</v>
      </c>
      <c r="F35" s="26">
        <f t="shared" si="2"/>
        <v>2925</v>
      </c>
      <c r="G35" s="26">
        <f t="shared" si="3"/>
        <v>-2.6825000022654422E-3</v>
      </c>
      <c r="K35" s="26">
        <f t="shared" si="4"/>
        <v>-2.6825000022654422E-3</v>
      </c>
      <c r="P35" s="34">
        <f t="shared" si="5"/>
        <v>4.6580581576382597E-6</v>
      </c>
      <c r="Q35" s="57">
        <f t="shared" si="6"/>
        <v>38521.972500000003</v>
      </c>
      <c r="R35" s="28">
        <f t="shared" si="7"/>
        <v>7.2208184416967319E-6</v>
      </c>
      <c r="S35" s="58">
        <v>1</v>
      </c>
      <c r="T35" s="28">
        <f t="shared" si="8"/>
        <v>7.2208184416967319E-6</v>
      </c>
    </row>
    <row r="36" spans="1:20" s="26" customFormat="1" ht="12.95" customHeight="1" x14ac:dyDescent="0.2">
      <c r="A36" s="7" t="s">
        <v>37</v>
      </c>
      <c r="B36" s="8" t="s">
        <v>38</v>
      </c>
      <c r="C36" s="7">
        <v>54017.270499999999</v>
      </c>
      <c r="D36" s="7">
        <v>8.0000000000000004E-4</v>
      </c>
      <c r="E36" s="26">
        <f t="shared" si="1"/>
        <v>4265.5067196089421</v>
      </c>
      <c r="F36" s="26">
        <f t="shared" si="2"/>
        <v>4265.5</v>
      </c>
      <c r="G36" s="26">
        <f t="shared" si="3"/>
        <v>2.3900499945739284E-3</v>
      </c>
      <c r="K36" s="26">
        <f t="shared" si="4"/>
        <v>2.3900499945739284E-3</v>
      </c>
      <c r="O36" s="26">
        <f t="shared" ref="O36:O51" ca="1" si="9">+C$11+C$12*$F36</f>
        <v>-7.8285433132788927E-3</v>
      </c>
      <c r="P36" s="34">
        <f t="shared" si="5"/>
        <v>9.1695156835282644E-4</v>
      </c>
      <c r="Q36" s="57">
        <f t="shared" si="6"/>
        <v>38998.770499999999</v>
      </c>
      <c r="R36" s="28">
        <f t="shared" si="7"/>
        <v>2.1700189733350876E-6</v>
      </c>
      <c r="S36" s="58">
        <v>1</v>
      </c>
      <c r="T36" s="28">
        <f t="shared" si="8"/>
        <v>2.1700189733350876E-6</v>
      </c>
    </row>
    <row r="37" spans="1:20" s="26" customFormat="1" ht="12.95" customHeight="1" x14ac:dyDescent="0.2">
      <c r="A37" s="63" t="s">
        <v>39</v>
      </c>
      <c r="B37" s="8" t="s">
        <v>32</v>
      </c>
      <c r="C37" s="7">
        <v>54387.360000000001</v>
      </c>
      <c r="D37" s="7"/>
      <c r="E37" s="26">
        <f t="shared" si="1"/>
        <v>5306.0107753282418</v>
      </c>
      <c r="F37" s="26">
        <f t="shared" si="2"/>
        <v>5306</v>
      </c>
      <c r="G37" s="26">
        <f t="shared" si="3"/>
        <v>3.8325999994412996E-3</v>
      </c>
      <c r="J37" s="26">
        <f>+G37</f>
        <v>3.8325999994412996E-3</v>
      </c>
      <c r="O37" s="26">
        <f t="shared" ca="1" si="9"/>
        <v>-4.647713974195132E-3</v>
      </c>
      <c r="P37" s="34">
        <f t="shared" si="5"/>
        <v>1.9424620716530345E-3</v>
      </c>
      <c r="Q37" s="57">
        <f t="shared" si="6"/>
        <v>39368.86</v>
      </c>
      <c r="R37" s="28">
        <f t="shared" si="7"/>
        <v>3.572621386063717E-6</v>
      </c>
      <c r="S37" s="58">
        <v>1</v>
      </c>
      <c r="T37" s="28">
        <f t="shared" si="8"/>
        <v>3.572621386063717E-6</v>
      </c>
    </row>
    <row r="38" spans="1:20" s="26" customFormat="1" ht="12.95" customHeight="1" x14ac:dyDescent="0.2">
      <c r="A38" s="7" t="s">
        <v>48</v>
      </c>
      <c r="B38" s="8" t="s">
        <v>32</v>
      </c>
      <c r="C38" s="7">
        <v>54596.500099999997</v>
      </c>
      <c r="D38" s="7">
        <v>1E-4</v>
      </c>
      <c r="E38" s="26">
        <f t="shared" si="1"/>
        <v>5894.0067121584825</v>
      </c>
      <c r="F38" s="26">
        <f t="shared" si="2"/>
        <v>5894</v>
      </c>
      <c r="G38" s="26">
        <f t="shared" si="3"/>
        <v>2.3873999962233938E-3</v>
      </c>
      <c r="J38" s="26">
        <f>+G38</f>
        <v>2.3873999962233938E-3</v>
      </c>
      <c r="O38" s="26">
        <f t="shared" ca="1" si="9"/>
        <v>-2.8501861977595251E-3</v>
      </c>
      <c r="P38" s="34">
        <f t="shared" si="5"/>
        <v>2.6446648436981735E-3</v>
      </c>
      <c r="Q38" s="57">
        <f t="shared" si="6"/>
        <v>39578.000099999997</v>
      </c>
      <c r="R38" s="28">
        <f t="shared" si="7"/>
        <v>6.6185201746221661E-8</v>
      </c>
      <c r="S38" s="58">
        <v>1</v>
      </c>
      <c r="T38" s="28">
        <f t="shared" si="8"/>
        <v>6.6185201746221661E-8</v>
      </c>
    </row>
    <row r="39" spans="1:20" s="26" customFormat="1" ht="12.95" customHeight="1" x14ac:dyDescent="0.2">
      <c r="A39" s="64" t="s">
        <v>40</v>
      </c>
      <c r="B39" s="63"/>
      <c r="C39" s="7">
        <v>55049.821499999998</v>
      </c>
      <c r="D39" s="7">
        <v>2.0000000000000001E-4</v>
      </c>
      <c r="E39" s="26">
        <f t="shared" si="1"/>
        <v>7168.5166759492649</v>
      </c>
      <c r="F39" s="26">
        <f t="shared" si="2"/>
        <v>7168.5</v>
      </c>
      <c r="G39" s="26">
        <f t="shared" si="3"/>
        <v>5.9313499950803816E-3</v>
      </c>
      <c r="K39" s="26">
        <f>+G39</f>
        <v>5.9313499950803816E-3</v>
      </c>
      <c r="O39" s="26">
        <f t="shared" ca="1" si="9"/>
        <v>1.0459858278649356E-3</v>
      </c>
      <c r="P39" s="34">
        <f t="shared" si="5"/>
        <v>4.4708051287469398E-3</v>
      </c>
      <c r="Q39" s="57">
        <f t="shared" si="6"/>
        <v>40031.321499999998</v>
      </c>
      <c r="R39" s="28">
        <f t="shared" si="7"/>
        <v>2.1331913065729714E-6</v>
      </c>
      <c r="S39" s="58">
        <v>1</v>
      </c>
      <c r="T39" s="28">
        <f t="shared" si="8"/>
        <v>2.1331913065729714E-6</v>
      </c>
    </row>
    <row r="40" spans="1:20" s="26" customFormat="1" ht="12.95" customHeight="1" x14ac:dyDescent="0.2">
      <c r="A40" s="7" t="s">
        <v>43</v>
      </c>
      <c r="B40" s="8" t="s">
        <v>32</v>
      </c>
      <c r="C40" s="7">
        <v>55104.419500000004</v>
      </c>
      <c r="D40" s="7">
        <v>1E-3</v>
      </c>
      <c r="E40" s="26">
        <f t="shared" si="1"/>
        <v>7322.0185732853624</v>
      </c>
      <c r="F40" s="26">
        <f t="shared" si="2"/>
        <v>7322</v>
      </c>
      <c r="G40" s="26">
        <f t="shared" si="3"/>
        <v>6.6061999968951568E-3</v>
      </c>
      <c r="K40" s="26">
        <f>+G40</f>
        <v>6.6061999968951568E-3</v>
      </c>
      <c r="O40" s="26">
        <f t="shared" ca="1" si="9"/>
        <v>1.5152384021555262E-3</v>
      </c>
      <c r="P40" s="34">
        <f t="shared" si="5"/>
        <v>4.7188259802624141E-3</v>
      </c>
      <c r="Q40" s="57">
        <f t="shared" si="6"/>
        <v>40085.919500000004</v>
      </c>
      <c r="R40" s="28">
        <f t="shared" si="7"/>
        <v>3.5621806786604125E-6</v>
      </c>
      <c r="S40" s="58">
        <v>1</v>
      </c>
      <c r="T40" s="28">
        <f t="shared" si="8"/>
        <v>3.5621806786604125E-6</v>
      </c>
    </row>
    <row r="41" spans="1:20" s="26" customFormat="1" ht="12.95" customHeight="1" x14ac:dyDescent="0.2">
      <c r="A41" s="7" t="s">
        <v>44</v>
      </c>
      <c r="B41" s="8" t="s">
        <v>32</v>
      </c>
      <c r="C41" s="7">
        <v>55338.812400000003</v>
      </c>
      <c r="D41" s="7">
        <v>1E-4</v>
      </c>
      <c r="E41" s="26">
        <f t="shared" si="1"/>
        <v>7981.012581712529</v>
      </c>
      <c r="F41" s="26">
        <f t="shared" si="2"/>
        <v>7981</v>
      </c>
      <c r="G41" s="26">
        <f t="shared" si="3"/>
        <v>4.4751000023097731E-3</v>
      </c>
      <c r="K41" s="26">
        <f>+G41</f>
        <v>4.4751000023097731E-3</v>
      </c>
      <c r="O41" s="26">
        <f t="shared" ca="1" si="9"/>
        <v>3.5298146005757064E-3</v>
      </c>
      <c r="P41" s="34">
        <f t="shared" si="5"/>
        <v>5.8522144136963876E-3</v>
      </c>
      <c r="Q41" s="57">
        <f t="shared" si="6"/>
        <v>40320.312400000003</v>
      </c>
      <c r="R41" s="28">
        <f t="shared" si="7"/>
        <v>1.8964441020487017E-6</v>
      </c>
      <c r="S41" s="58">
        <v>1</v>
      </c>
      <c r="T41" s="28">
        <f t="shared" si="8"/>
        <v>1.8964441020487017E-6</v>
      </c>
    </row>
    <row r="42" spans="1:20" s="26" customFormat="1" ht="12.95" customHeight="1" x14ac:dyDescent="0.2">
      <c r="A42" s="7" t="s">
        <v>49</v>
      </c>
      <c r="B42" s="8" t="s">
        <v>32</v>
      </c>
      <c r="C42" s="7">
        <v>55673.511200000001</v>
      </c>
      <c r="D42" s="7">
        <v>2.9999999999999997E-4</v>
      </c>
      <c r="E42" s="26">
        <f t="shared" si="1"/>
        <v>8922.0159304818917</v>
      </c>
      <c r="F42" s="26">
        <f t="shared" si="2"/>
        <v>8922</v>
      </c>
      <c r="G42" s="26">
        <f t="shared" si="3"/>
        <v>5.6661999988136813E-3</v>
      </c>
      <c r="J42" s="26">
        <f>+G42</f>
        <v>5.6661999988136813E-3</v>
      </c>
      <c r="O42" s="26">
        <f t="shared" ca="1" si="9"/>
        <v>6.4064704468782714E-3</v>
      </c>
      <c r="P42" s="34">
        <f t="shared" si="5"/>
        <v>7.663487298441643E-3</v>
      </c>
      <c r="Q42" s="57">
        <f t="shared" si="6"/>
        <v>40655.011200000001</v>
      </c>
      <c r="R42" s="28">
        <f t="shared" si="7"/>
        <v>3.9891565572551548E-6</v>
      </c>
      <c r="S42" s="58">
        <v>1</v>
      </c>
      <c r="T42" s="28">
        <f t="shared" si="8"/>
        <v>3.9891565572551548E-6</v>
      </c>
    </row>
    <row r="43" spans="1:20" s="26" customFormat="1" ht="12.95" customHeight="1" x14ac:dyDescent="0.2">
      <c r="A43" s="7" t="s">
        <v>49</v>
      </c>
      <c r="B43" s="8" t="s">
        <v>32</v>
      </c>
      <c r="C43" s="7">
        <v>55705.524100000002</v>
      </c>
      <c r="D43" s="7">
        <v>2.9999999999999997E-4</v>
      </c>
      <c r="E43" s="26">
        <f t="shared" si="1"/>
        <v>9012.0199762203883</v>
      </c>
      <c r="F43" s="26">
        <f t="shared" si="2"/>
        <v>9012</v>
      </c>
      <c r="G43" s="26">
        <f t="shared" si="3"/>
        <v>7.1051999984774739E-3</v>
      </c>
      <c r="J43" s="26">
        <f>+G43</f>
        <v>7.1051999984774739E-3</v>
      </c>
      <c r="O43" s="26">
        <f t="shared" ca="1" si="9"/>
        <v>6.6816022493939239E-3</v>
      </c>
      <c r="P43" s="34">
        <f t="shared" si="5"/>
        <v>7.848610151693268E-3</v>
      </c>
      <c r="Q43" s="57">
        <f t="shared" si="6"/>
        <v>40687.024100000002</v>
      </c>
      <c r="R43" s="28">
        <f t="shared" si="7"/>
        <v>5.5265865590433046E-7</v>
      </c>
      <c r="S43" s="58">
        <v>1</v>
      </c>
      <c r="T43" s="28">
        <f t="shared" si="8"/>
        <v>5.5265865590433046E-7</v>
      </c>
    </row>
    <row r="44" spans="1:20" s="26" customFormat="1" ht="12.95" customHeight="1" x14ac:dyDescent="0.2">
      <c r="A44" s="65" t="s">
        <v>50</v>
      </c>
      <c r="B44" s="66" t="s">
        <v>32</v>
      </c>
      <c r="C44" s="65">
        <v>56087.885600000001</v>
      </c>
      <c r="D44" s="65">
        <v>5.0000000000000001E-4</v>
      </c>
      <c r="E44" s="26">
        <f t="shared" si="1"/>
        <v>10087.026674602568</v>
      </c>
      <c r="F44" s="26">
        <f t="shared" si="2"/>
        <v>10087</v>
      </c>
      <c r="G44" s="26">
        <f t="shared" si="3"/>
        <v>9.4877000010455959E-3</v>
      </c>
      <c r="K44" s="26">
        <f>+G44</f>
        <v>9.4877000010455959E-3</v>
      </c>
      <c r="O44" s="26">
        <f t="shared" ca="1" si="9"/>
        <v>9.9678987794420207E-3</v>
      </c>
      <c r="P44" s="34">
        <f t="shared" si="5"/>
        <v>1.0220242562629775E-2</v>
      </c>
      <c r="Q44" s="57">
        <f t="shared" si="6"/>
        <v>41069.385600000001</v>
      </c>
      <c r="R44" s="28">
        <f t="shared" si="7"/>
        <v>5.3661860453231131E-7</v>
      </c>
      <c r="S44" s="58">
        <v>1</v>
      </c>
      <c r="T44" s="28">
        <f t="shared" si="8"/>
        <v>5.3661860453231131E-7</v>
      </c>
    </row>
    <row r="45" spans="1:20" s="26" customFormat="1" ht="12.95" customHeight="1" x14ac:dyDescent="0.2">
      <c r="A45" s="67" t="s">
        <v>118</v>
      </c>
      <c r="B45" s="68" t="s">
        <v>38</v>
      </c>
      <c r="C45" s="69">
        <v>57099.633379999999</v>
      </c>
      <c r="D45" s="69">
        <v>1E-4</v>
      </c>
      <c r="E45" s="26">
        <f t="shared" si="1"/>
        <v>12931.548522574451</v>
      </c>
      <c r="F45" s="26">
        <f t="shared" si="2"/>
        <v>12931.5</v>
      </c>
      <c r="G45" s="26">
        <f t="shared" si="3"/>
        <v>1.7258649997529574E-2</v>
      </c>
      <c r="K45" s="26">
        <f>+G45</f>
        <v>1.7258649997529574E-2</v>
      </c>
      <c r="O45" s="26">
        <f t="shared" ca="1" si="9"/>
        <v>1.8663592248950672E-2</v>
      </c>
      <c r="P45" s="34">
        <f t="shared" si="5"/>
        <v>1.7924001918001951E-2</v>
      </c>
      <c r="Q45" s="57">
        <f t="shared" si="6"/>
        <v>42081.133379999999</v>
      </c>
      <c r="R45" s="28">
        <f t="shared" si="7"/>
        <v>4.4269317807628018E-7</v>
      </c>
      <c r="S45" s="58">
        <v>1</v>
      </c>
      <c r="T45" s="28">
        <f t="shared" si="8"/>
        <v>4.4269317807628018E-7</v>
      </c>
    </row>
    <row r="46" spans="1:20" s="26" customFormat="1" ht="12.95" customHeight="1" x14ac:dyDescent="0.2">
      <c r="A46" s="70" t="s">
        <v>117</v>
      </c>
      <c r="B46" s="71"/>
      <c r="C46" s="70">
        <v>57143.561199999996</v>
      </c>
      <c r="D46" s="70">
        <v>5.0000000000000001E-4</v>
      </c>
      <c r="E46" s="26">
        <f t="shared" si="1"/>
        <v>13055.051283038889</v>
      </c>
      <c r="F46" s="26">
        <f t="shared" si="2"/>
        <v>13055</v>
      </c>
      <c r="G46" s="26">
        <f t="shared" si="3"/>
        <v>1.8240499994135462E-2</v>
      </c>
      <c r="J46" s="26">
        <f>+G46</f>
        <v>1.8240499994135462E-2</v>
      </c>
      <c r="O46" s="26">
        <f t="shared" ca="1" si="9"/>
        <v>1.9041134222402709E-2</v>
      </c>
      <c r="P46" s="34">
        <f t="shared" si="5"/>
        <v>1.8305435729185422E-2</v>
      </c>
      <c r="Q46" s="57">
        <f t="shared" si="6"/>
        <v>42125.061199999996</v>
      </c>
      <c r="R46" s="28">
        <f t="shared" si="7"/>
        <v>4.2166496864786656E-9</v>
      </c>
      <c r="S46" s="58">
        <v>1</v>
      </c>
      <c r="T46" s="28">
        <f t="shared" si="8"/>
        <v>4.2166496864786656E-9</v>
      </c>
    </row>
    <row r="47" spans="1:20" s="26" customFormat="1" ht="12.95" customHeight="1" x14ac:dyDescent="0.2">
      <c r="A47" s="29" t="s">
        <v>119</v>
      </c>
      <c r="C47" s="72">
        <v>58253.837500000001</v>
      </c>
      <c r="D47" s="72">
        <v>2.0000000000000001E-4</v>
      </c>
      <c r="E47" s="26">
        <f t="shared" si="1"/>
        <v>16176.585379842545</v>
      </c>
      <c r="F47" s="26">
        <f t="shared" si="2"/>
        <v>16176.5</v>
      </c>
      <c r="G47" s="26">
        <f t="shared" si="3"/>
        <v>3.03681500008679E-2</v>
      </c>
      <c r="K47" s="26">
        <f>+G47</f>
        <v>3.03681500008679E-2</v>
      </c>
      <c r="O47" s="26">
        <f t="shared" ca="1" si="9"/>
        <v>2.8583622239653994E-2</v>
      </c>
      <c r="P47" s="34">
        <f t="shared" si="5"/>
        <v>2.924395978450553E-2</v>
      </c>
      <c r="Q47" s="57">
        <f t="shared" si="6"/>
        <v>43235.337500000001</v>
      </c>
      <c r="R47" s="28">
        <f t="shared" si="7"/>
        <v>1.2638036425648714E-6</v>
      </c>
      <c r="S47" s="58">
        <v>1</v>
      </c>
      <c r="T47" s="28">
        <f t="shared" si="8"/>
        <v>1.2638036425648714E-6</v>
      </c>
    </row>
    <row r="48" spans="1:20" s="26" customFormat="1" ht="12.95" customHeight="1" x14ac:dyDescent="0.2">
      <c r="A48" s="73" t="s">
        <v>126</v>
      </c>
      <c r="B48" s="74" t="s">
        <v>32</v>
      </c>
      <c r="C48" s="75">
        <v>58339.381500000003</v>
      </c>
      <c r="D48" s="75">
        <v>1.6000000000000001E-4</v>
      </c>
      <c r="E48" s="26">
        <f t="shared" si="1"/>
        <v>16417.091740986143</v>
      </c>
      <c r="F48" s="26">
        <f t="shared" si="2"/>
        <v>16417</v>
      </c>
      <c r="G48" s="26">
        <f t="shared" si="3"/>
        <v>3.2630699999572244E-2</v>
      </c>
      <c r="K48" s="26">
        <f>+G48</f>
        <v>3.2630699999572244E-2</v>
      </c>
      <c r="O48" s="26">
        <f t="shared" ca="1" si="9"/>
        <v>2.9318835556376377E-2</v>
      </c>
      <c r="P48" s="34">
        <f t="shared" si="5"/>
        <v>3.0190317905374707E-2</v>
      </c>
      <c r="Q48" s="57">
        <f t="shared" si="6"/>
        <v>43320.881500000003</v>
      </c>
      <c r="R48" s="28">
        <f t="shared" si="7"/>
        <v>5.955464765679954E-6</v>
      </c>
      <c r="S48" s="58">
        <v>1</v>
      </c>
      <c r="T48" s="28">
        <f t="shared" si="8"/>
        <v>5.955464765679954E-6</v>
      </c>
    </row>
    <row r="49" spans="1:20" s="26" customFormat="1" ht="12.95" customHeight="1" x14ac:dyDescent="0.2">
      <c r="A49" s="23" t="s">
        <v>127</v>
      </c>
      <c r="B49" s="24" t="s">
        <v>38</v>
      </c>
      <c r="C49" s="79">
        <v>59647.596100000002</v>
      </c>
      <c r="D49" s="80">
        <v>2.9999999999999997E-4</v>
      </c>
      <c r="E49" s="26">
        <f t="shared" si="1"/>
        <v>20095.127991815178</v>
      </c>
      <c r="F49" s="26">
        <f t="shared" si="2"/>
        <v>20095</v>
      </c>
      <c r="G49" s="26">
        <f t="shared" si="3"/>
        <v>4.5524499997554813E-2</v>
      </c>
      <c r="K49" s="26">
        <f>+G49</f>
        <v>4.5524499997554813E-2</v>
      </c>
      <c r="O49" s="26">
        <f t="shared" ca="1" si="9"/>
        <v>4.056255521918279E-2</v>
      </c>
      <c r="P49" s="34">
        <f t="shared" si="5"/>
        <v>4.6509468584480351E-2</v>
      </c>
      <c r="Q49" s="57">
        <f t="shared" si="6"/>
        <v>44629.096100000002</v>
      </c>
      <c r="R49" s="28">
        <f t="shared" si="7"/>
        <v>9.7016311723009245E-7</v>
      </c>
      <c r="S49" s="58">
        <v>1</v>
      </c>
      <c r="T49" s="28">
        <f t="shared" si="8"/>
        <v>9.7016311723009245E-7</v>
      </c>
    </row>
    <row r="50" spans="1:20" s="26" customFormat="1" ht="12.95" customHeight="1" x14ac:dyDescent="0.2">
      <c r="A50" s="25" t="s">
        <v>129</v>
      </c>
      <c r="B50" s="76" t="s">
        <v>38</v>
      </c>
      <c r="C50" s="77">
        <v>59701.8321</v>
      </c>
      <c r="D50" s="78">
        <v>2.0000000000000001E-4</v>
      </c>
      <c r="E50" s="26">
        <f t="shared" si="1"/>
        <v>20247.61212866853</v>
      </c>
      <c r="F50" s="26">
        <f t="shared" si="2"/>
        <v>20247.5</v>
      </c>
      <c r="G50" s="26">
        <f t="shared" si="3"/>
        <v>3.9882249999209307E-2</v>
      </c>
      <c r="K50" s="26">
        <f>+G50</f>
        <v>3.9882249999209307E-2</v>
      </c>
      <c r="O50" s="26">
        <f t="shared" ca="1" si="9"/>
        <v>4.1028750773445428E-2</v>
      </c>
      <c r="P50" s="34">
        <f t="shared" si="5"/>
        <v>4.7260941563131383E-2</v>
      </c>
      <c r="Q50" s="57">
        <f t="shared" si="6"/>
        <v>44683.3321</v>
      </c>
      <c r="R50" s="28">
        <f t="shared" si="7"/>
        <v>5.4445089195494806E-5</v>
      </c>
      <c r="S50" s="58">
        <v>1</v>
      </c>
      <c r="T50" s="28">
        <f t="shared" si="8"/>
        <v>5.4445089195494806E-5</v>
      </c>
    </row>
    <row r="51" spans="1:20" s="26" customFormat="1" ht="12.95" customHeight="1" x14ac:dyDescent="0.2">
      <c r="A51" s="23" t="s">
        <v>128</v>
      </c>
      <c r="B51" s="24" t="s">
        <v>32</v>
      </c>
      <c r="C51" s="79">
        <v>59713.7425</v>
      </c>
      <c r="D51" s="80">
        <v>5.9999999999999995E-4</v>
      </c>
      <c r="E51" s="26">
        <f t="shared" si="1"/>
        <v>20281.098135445918</v>
      </c>
      <c r="F51" s="26">
        <f t="shared" si="2"/>
        <v>20281</v>
      </c>
      <c r="G51" s="26">
        <f t="shared" si="3"/>
        <v>3.4905099993920885E-2</v>
      </c>
      <c r="K51" s="26">
        <f>+G51</f>
        <v>3.4905099993920885E-2</v>
      </c>
      <c r="O51" s="26">
        <f t="shared" ca="1" si="9"/>
        <v>4.1131160944381809E-2</v>
      </c>
      <c r="P51" s="34">
        <f t="shared" si="5"/>
        <v>4.7426817492304582E-2</v>
      </c>
      <c r="Q51" s="57">
        <f t="shared" si="6"/>
        <v>44695.2425</v>
      </c>
      <c r="R51" s="28">
        <f t="shared" si="7"/>
        <v>1.5679340910932846E-4</v>
      </c>
      <c r="S51" s="58">
        <v>1</v>
      </c>
      <c r="T51" s="28">
        <f t="shared" si="8"/>
        <v>1.5679340910932846E-4</v>
      </c>
    </row>
    <row r="52" spans="1:20" s="26" customFormat="1" ht="12.95" customHeight="1" x14ac:dyDescent="0.2">
      <c r="C52" s="72"/>
      <c r="D52" s="72"/>
    </row>
    <row r="53" spans="1:20" s="26" customFormat="1" ht="12.95" customHeight="1" x14ac:dyDescent="0.2">
      <c r="C53" s="72"/>
      <c r="D53" s="72"/>
    </row>
    <row r="54" spans="1:20" s="26" customFormat="1" ht="12.95" customHeight="1" x14ac:dyDescent="0.2">
      <c r="C54" s="72"/>
      <c r="D54" s="72"/>
    </row>
    <row r="55" spans="1:20" s="26" customFormat="1" ht="12.95" customHeight="1" x14ac:dyDescent="0.2">
      <c r="C55" s="72"/>
      <c r="D55" s="72"/>
    </row>
    <row r="56" spans="1:20" s="26" customFormat="1" ht="12.95" customHeight="1" x14ac:dyDescent="0.2">
      <c r="C56" s="72"/>
      <c r="D56" s="72"/>
    </row>
    <row r="57" spans="1:20" s="26" customFormat="1" ht="12.95" customHeight="1" x14ac:dyDescent="0.2">
      <c r="C57" s="72"/>
      <c r="D57" s="72"/>
    </row>
    <row r="58" spans="1:20" s="26" customFormat="1" ht="12.95" customHeight="1" x14ac:dyDescent="0.2">
      <c r="C58" s="72"/>
      <c r="D58" s="72"/>
    </row>
    <row r="59" spans="1:20" s="26" customFormat="1" ht="12.95" customHeight="1" x14ac:dyDescent="0.2">
      <c r="C59" s="72"/>
      <c r="D59" s="72"/>
    </row>
    <row r="60" spans="1:20" s="26" customFormat="1" ht="12.95" customHeight="1" x14ac:dyDescent="0.2">
      <c r="C60" s="72"/>
      <c r="D60" s="72"/>
    </row>
    <row r="61" spans="1:20" s="26" customFormat="1" ht="12.95" customHeight="1" x14ac:dyDescent="0.2">
      <c r="C61" s="72"/>
      <c r="D61" s="72"/>
    </row>
    <row r="62" spans="1:20" s="26" customFormat="1" ht="12.95" customHeight="1" x14ac:dyDescent="0.2">
      <c r="C62" s="72"/>
      <c r="D62" s="72"/>
    </row>
    <row r="63" spans="1:20" s="26" customFormat="1" ht="12.95" customHeight="1" x14ac:dyDescent="0.2">
      <c r="C63" s="72"/>
      <c r="D63" s="72"/>
    </row>
    <row r="64" spans="1:20" s="26" customFormat="1" ht="12.95" customHeight="1" x14ac:dyDescent="0.2">
      <c r="C64" s="72"/>
      <c r="D64" s="72"/>
    </row>
    <row r="65" spans="3:4" s="26" customFormat="1" ht="12.95" customHeight="1" x14ac:dyDescent="0.2">
      <c r="C65" s="72"/>
      <c r="D65" s="72"/>
    </row>
    <row r="66" spans="3:4" s="26" customFormat="1" ht="12.95" customHeight="1" x14ac:dyDescent="0.2">
      <c r="C66" s="72"/>
      <c r="D66" s="72"/>
    </row>
    <row r="67" spans="3:4" s="26" customFormat="1" ht="12.95" customHeight="1" x14ac:dyDescent="0.2">
      <c r="C67" s="72"/>
      <c r="D67" s="72"/>
    </row>
    <row r="68" spans="3:4" s="26" customFormat="1" ht="12.95" customHeight="1" x14ac:dyDescent="0.2">
      <c r="C68" s="72"/>
      <c r="D68" s="72"/>
    </row>
    <row r="69" spans="3:4" s="26" customFormat="1" ht="12.95" customHeight="1" x14ac:dyDescent="0.2">
      <c r="C69" s="72"/>
      <c r="D69" s="72"/>
    </row>
    <row r="70" spans="3:4" s="26" customFormat="1" ht="12.95" customHeight="1" x14ac:dyDescent="0.2">
      <c r="C70" s="72"/>
      <c r="D70" s="72"/>
    </row>
    <row r="71" spans="3:4" s="26" customFormat="1" ht="12.95" customHeight="1" x14ac:dyDescent="0.2">
      <c r="C71" s="72"/>
      <c r="D71" s="72"/>
    </row>
    <row r="72" spans="3:4" s="26" customFormat="1" ht="12.95" customHeight="1" x14ac:dyDescent="0.2">
      <c r="C72" s="72"/>
      <c r="D72" s="72"/>
    </row>
    <row r="73" spans="3:4" s="26" customFormat="1" ht="12.95" customHeight="1" x14ac:dyDescent="0.2">
      <c r="C73" s="72"/>
      <c r="D73" s="72"/>
    </row>
    <row r="74" spans="3:4" s="26" customFormat="1" ht="12.95" customHeight="1" x14ac:dyDescent="0.2">
      <c r="C74" s="72"/>
      <c r="D74" s="72"/>
    </row>
    <row r="75" spans="3:4" s="26" customFormat="1" ht="12.95" customHeight="1" x14ac:dyDescent="0.2">
      <c r="C75" s="72"/>
      <c r="D75" s="72"/>
    </row>
    <row r="76" spans="3:4" s="26" customFormat="1" ht="12.95" customHeight="1" x14ac:dyDescent="0.2">
      <c r="C76" s="72"/>
      <c r="D76" s="72"/>
    </row>
    <row r="77" spans="3:4" s="26" customFormat="1" ht="12.95" customHeight="1" x14ac:dyDescent="0.2">
      <c r="C77" s="72"/>
      <c r="D77" s="72"/>
    </row>
    <row r="78" spans="3:4" s="26" customFormat="1" ht="12.95" customHeight="1" x14ac:dyDescent="0.2">
      <c r="C78" s="72"/>
      <c r="D78" s="72"/>
    </row>
    <row r="79" spans="3:4" s="26" customFormat="1" ht="12.95" customHeight="1" x14ac:dyDescent="0.2">
      <c r="C79" s="72"/>
      <c r="D79" s="72"/>
    </row>
    <row r="80" spans="3:4" s="26" customFormat="1" ht="12.95" customHeight="1" x14ac:dyDescent="0.2">
      <c r="C80" s="72"/>
      <c r="D80" s="72"/>
    </row>
    <row r="81" spans="3:4" s="26" customFormat="1" ht="12.95" customHeight="1" x14ac:dyDescent="0.2">
      <c r="C81" s="72"/>
      <c r="D81" s="72"/>
    </row>
    <row r="82" spans="3:4" s="26" customFormat="1" ht="12.95" customHeight="1" x14ac:dyDescent="0.2">
      <c r="C82" s="72"/>
      <c r="D82" s="72"/>
    </row>
    <row r="83" spans="3:4" s="26" customFormat="1" ht="12.95" customHeight="1" x14ac:dyDescent="0.2">
      <c r="C83" s="72"/>
      <c r="D83" s="72"/>
    </row>
    <row r="84" spans="3:4" s="26" customFormat="1" ht="12.95" customHeight="1" x14ac:dyDescent="0.2">
      <c r="C84" s="72"/>
      <c r="D84" s="72"/>
    </row>
    <row r="85" spans="3:4" s="26" customFormat="1" ht="12.95" customHeight="1" x14ac:dyDescent="0.2">
      <c r="C85" s="72"/>
      <c r="D85" s="72"/>
    </row>
    <row r="86" spans="3:4" s="26" customFormat="1" ht="12.95" customHeight="1" x14ac:dyDescent="0.2">
      <c r="C86" s="72"/>
      <c r="D86" s="72"/>
    </row>
    <row r="87" spans="3:4" s="26" customFormat="1" ht="12.95" customHeight="1" x14ac:dyDescent="0.2">
      <c r="C87" s="72"/>
      <c r="D87" s="72"/>
    </row>
    <row r="88" spans="3:4" s="26" customFormat="1" ht="12.95" customHeight="1" x14ac:dyDescent="0.2">
      <c r="C88" s="72"/>
      <c r="D88" s="72"/>
    </row>
    <row r="89" spans="3:4" s="26" customFormat="1" ht="12.95" customHeight="1" x14ac:dyDescent="0.2">
      <c r="C89" s="72"/>
      <c r="D89" s="72"/>
    </row>
    <row r="90" spans="3:4" s="26" customFormat="1" ht="12.95" customHeight="1" x14ac:dyDescent="0.2">
      <c r="C90" s="72"/>
      <c r="D90" s="72"/>
    </row>
    <row r="91" spans="3:4" s="26" customFormat="1" ht="12.95" customHeight="1" x14ac:dyDescent="0.2">
      <c r="C91" s="72"/>
      <c r="D91" s="72"/>
    </row>
    <row r="92" spans="3:4" s="26" customFormat="1" ht="12.95" customHeight="1" x14ac:dyDescent="0.2">
      <c r="C92" s="72"/>
      <c r="D92" s="72"/>
    </row>
    <row r="93" spans="3:4" s="26" customFormat="1" ht="12.95" customHeight="1" x14ac:dyDescent="0.2">
      <c r="C93" s="72"/>
      <c r="D93" s="72"/>
    </row>
    <row r="94" spans="3:4" s="26" customFormat="1" ht="12.95" customHeight="1" x14ac:dyDescent="0.2">
      <c r="C94" s="72"/>
      <c r="D94" s="72"/>
    </row>
    <row r="95" spans="3:4" s="26" customFormat="1" ht="12.95" customHeight="1" x14ac:dyDescent="0.2">
      <c r="C95" s="72"/>
      <c r="D95" s="72"/>
    </row>
    <row r="96" spans="3:4" s="26" customFormat="1" ht="12.95" customHeight="1" x14ac:dyDescent="0.2">
      <c r="C96" s="72"/>
      <c r="D96" s="72"/>
    </row>
    <row r="97" spans="3:4" s="26" customFormat="1" ht="12.95" customHeight="1" x14ac:dyDescent="0.2">
      <c r="C97" s="72"/>
      <c r="D97" s="72"/>
    </row>
    <row r="98" spans="3:4" s="26" customFormat="1" ht="12.95" customHeight="1" x14ac:dyDescent="0.2">
      <c r="C98" s="72"/>
      <c r="D98" s="72"/>
    </row>
    <row r="99" spans="3:4" s="26" customFormat="1" ht="12.95" customHeight="1" x14ac:dyDescent="0.2">
      <c r="C99" s="72"/>
      <c r="D99" s="72"/>
    </row>
    <row r="100" spans="3:4" s="26" customFormat="1" ht="12.95" customHeight="1" x14ac:dyDescent="0.2">
      <c r="C100" s="72"/>
      <c r="D100" s="72"/>
    </row>
    <row r="101" spans="3:4" s="26" customFormat="1" ht="12.95" customHeight="1" x14ac:dyDescent="0.2">
      <c r="C101" s="72"/>
      <c r="D101" s="72"/>
    </row>
    <row r="102" spans="3:4" s="26" customFormat="1" ht="12.95" customHeight="1" x14ac:dyDescent="0.2">
      <c r="C102" s="72"/>
      <c r="D102" s="72"/>
    </row>
    <row r="103" spans="3:4" s="26" customFormat="1" ht="12.95" customHeight="1" x14ac:dyDescent="0.2">
      <c r="C103" s="72"/>
      <c r="D103" s="72"/>
    </row>
    <row r="104" spans="3:4" s="26" customFormat="1" ht="12.95" customHeight="1" x14ac:dyDescent="0.2">
      <c r="C104" s="72"/>
      <c r="D104" s="72"/>
    </row>
    <row r="105" spans="3:4" s="26" customFormat="1" ht="12.95" customHeight="1" x14ac:dyDescent="0.2">
      <c r="C105" s="72"/>
      <c r="D105" s="72"/>
    </row>
    <row r="106" spans="3:4" s="26" customFormat="1" ht="12.95" customHeight="1" x14ac:dyDescent="0.2">
      <c r="C106" s="72"/>
      <c r="D106" s="72"/>
    </row>
    <row r="107" spans="3:4" s="26" customFormat="1" ht="12.95" customHeight="1" x14ac:dyDescent="0.2">
      <c r="C107" s="72"/>
      <c r="D107" s="72"/>
    </row>
    <row r="108" spans="3:4" s="26" customFormat="1" ht="12.95" customHeight="1" x14ac:dyDescent="0.2">
      <c r="C108" s="72"/>
      <c r="D108" s="72"/>
    </row>
    <row r="109" spans="3:4" s="26" customFormat="1" ht="12.95" customHeight="1" x14ac:dyDescent="0.2">
      <c r="C109" s="72"/>
      <c r="D109" s="72"/>
    </row>
    <row r="110" spans="3:4" s="26" customFormat="1" ht="12.95" customHeight="1" x14ac:dyDescent="0.2">
      <c r="C110" s="72"/>
      <c r="D110" s="72"/>
    </row>
    <row r="111" spans="3:4" s="26" customFormat="1" ht="12.95" customHeight="1" x14ac:dyDescent="0.2">
      <c r="C111" s="72"/>
      <c r="D111" s="72"/>
    </row>
    <row r="112" spans="3:4" s="26" customFormat="1" ht="12.95" customHeight="1" x14ac:dyDescent="0.2">
      <c r="C112" s="72"/>
      <c r="D112" s="72"/>
    </row>
    <row r="113" spans="3:4" s="26" customFormat="1" ht="12.95" customHeight="1" x14ac:dyDescent="0.2">
      <c r="C113" s="72"/>
      <c r="D113" s="72"/>
    </row>
    <row r="114" spans="3:4" s="26" customFormat="1" ht="12.95" customHeight="1" x14ac:dyDescent="0.2">
      <c r="C114" s="72"/>
      <c r="D114" s="72"/>
    </row>
    <row r="115" spans="3:4" s="26" customFormat="1" ht="12.95" customHeight="1" x14ac:dyDescent="0.2">
      <c r="C115" s="72"/>
      <c r="D115" s="72"/>
    </row>
    <row r="116" spans="3:4" s="26" customFormat="1" ht="12.95" customHeight="1" x14ac:dyDescent="0.2">
      <c r="C116" s="72"/>
      <c r="D116" s="72"/>
    </row>
    <row r="117" spans="3:4" s="26" customFormat="1" ht="12.95" customHeight="1" x14ac:dyDescent="0.2">
      <c r="C117" s="72"/>
      <c r="D117" s="72"/>
    </row>
    <row r="118" spans="3:4" s="26" customFormat="1" ht="12.95" customHeight="1" x14ac:dyDescent="0.2">
      <c r="C118" s="72"/>
      <c r="D118" s="72"/>
    </row>
    <row r="119" spans="3:4" s="26" customFormat="1" ht="12.95" customHeight="1" x14ac:dyDescent="0.2">
      <c r="C119" s="72"/>
      <c r="D119" s="72"/>
    </row>
    <row r="120" spans="3:4" s="26" customFormat="1" ht="12.95" customHeight="1" x14ac:dyDescent="0.2">
      <c r="C120" s="72"/>
      <c r="D120" s="72"/>
    </row>
    <row r="121" spans="3:4" s="26" customFormat="1" ht="12.95" customHeight="1" x14ac:dyDescent="0.2">
      <c r="C121" s="72"/>
      <c r="D121" s="72"/>
    </row>
    <row r="122" spans="3:4" s="26" customFormat="1" ht="12.95" customHeight="1" x14ac:dyDescent="0.2">
      <c r="C122" s="72"/>
      <c r="D122" s="72"/>
    </row>
    <row r="123" spans="3:4" s="26" customFormat="1" ht="12.95" customHeight="1" x14ac:dyDescent="0.2">
      <c r="C123" s="72"/>
      <c r="D123" s="72"/>
    </row>
    <row r="124" spans="3:4" s="26" customFormat="1" ht="12.95" customHeight="1" x14ac:dyDescent="0.2">
      <c r="C124" s="72"/>
      <c r="D124" s="72"/>
    </row>
    <row r="125" spans="3:4" s="26" customFormat="1" ht="12.95" customHeight="1" x14ac:dyDescent="0.2">
      <c r="C125" s="72"/>
      <c r="D125" s="72"/>
    </row>
    <row r="126" spans="3:4" s="26" customFormat="1" ht="12.95" customHeight="1" x14ac:dyDescent="0.2">
      <c r="C126" s="72"/>
      <c r="D126" s="72"/>
    </row>
    <row r="127" spans="3:4" s="26" customFormat="1" ht="12.95" customHeight="1" x14ac:dyDescent="0.2">
      <c r="C127" s="72"/>
      <c r="D127" s="72"/>
    </row>
    <row r="128" spans="3:4" s="26" customFormat="1" ht="12.95" customHeight="1" x14ac:dyDescent="0.2">
      <c r="C128" s="72"/>
      <c r="D128" s="72"/>
    </row>
    <row r="129" spans="3:4" s="26" customFormat="1" ht="12.95" customHeight="1" x14ac:dyDescent="0.2">
      <c r="C129" s="72"/>
      <c r="D129" s="72"/>
    </row>
    <row r="130" spans="3:4" s="26" customFormat="1" ht="12.95" customHeight="1" x14ac:dyDescent="0.2">
      <c r="C130" s="72"/>
      <c r="D130" s="72"/>
    </row>
    <row r="131" spans="3:4" s="26" customFormat="1" ht="12.95" customHeight="1" x14ac:dyDescent="0.2">
      <c r="C131" s="72"/>
      <c r="D131" s="72"/>
    </row>
    <row r="132" spans="3:4" s="26" customFormat="1" ht="12.95" customHeight="1" x14ac:dyDescent="0.2">
      <c r="C132" s="72"/>
      <c r="D132" s="72"/>
    </row>
    <row r="133" spans="3:4" s="26" customFormat="1" ht="12.95" customHeight="1" x14ac:dyDescent="0.2">
      <c r="C133" s="72"/>
      <c r="D133" s="72"/>
    </row>
    <row r="134" spans="3:4" s="26" customFormat="1" ht="12.95" customHeight="1" x14ac:dyDescent="0.2">
      <c r="C134" s="72"/>
      <c r="D134" s="72"/>
    </row>
    <row r="135" spans="3:4" s="26" customFormat="1" ht="12.95" customHeight="1" x14ac:dyDescent="0.2">
      <c r="C135" s="72"/>
      <c r="D135" s="72"/>
    </row>
    <row r="136" spans="3:4" s="26" customFormat="1" ht="12.95" customHeight="1" x14ac:dyDescent="0.2">
      <c r="C136" s="72"/>
      <c r="D136" s="72"/>
    </row>
    <row r="137" spans="3:4" s="26" customFormat="1" ht="12.95" customHeight="1" x14ac:dyDescent="0.2">
      <c r="C137" s="72"/>
      <c r="D137" s="72"/>
    </row>
    <row r="138" spans="3:4" s="26" customFormat="1" ht="12.95" customHeight="1" x14ac:dyDescent="0.2">
      <c r="C138" s="72"/>
      <c r="D138" s="72"/>
    </row>
    <row r="139" spans="3:4" s="26" customFormat="1" ht="12.95" customHeight="1" x14ac:dyDescent="0.2">
      <c r="C139" s="72"/>
      <c r="D139" s="72"/>
    </row>
    <row r="140" spans="3:4" s="26" customFormat="1" ht="12.95" customHeight="1" x14ac:dyDescent="0.2">
      <c r="C140" s="72"/>
      <c r="D140" s="72"/>
    </row>
    <row r="141" spans="3:4" s="26" customFormat="1" ht="12.95" customHeight="1" x14ac:dyDescent="0.2">
      <c r="C141" s="72"/>
      <c r="D141" s="72"/>
    </row>
    <row r="142" spans="3:4" s="26" customFormat="1" ht="12.95" customHeight="1" x14ac:dyDescent="0.2">
      <c r="C142" s="72"/>
      <c r="D142" s="72"/>
    </row>
    <row r="143" spans="3:4" s="26" customFormat="1" ht="12.95" customHeight="1" x14ac:dyDescent="0.2">
      <c r="C143" s="72"/>
      <c r="D143" s="72"/>
    </row>
    <row r="144" spans="3:4" s="26" customFormat="1" ht="12.95" customHeight="1" x14ac:dyDescent="0.2">
      <c r="C144" s="72"/>
      <c r="D144" s="72"/>
    </row>
    <row r="145" spans="3:4" s="26" customFormat="1" ht="12.95" customHeight="1" x14ac:dyDescent="0.2">
      <c r="C145" s="72"/>
      <c r="D145" s="72"/>
    </row>
    <row r="146" spans="3:4" s="26" customFormat="1" ht="12.95" customHeight="1" x14ac:dyDescent="0.2">
      <c r="C146" s="72"/>
      <c r="D146" s="72"/>
    </row>
    <row r="147" spans="3:4" s="26" customFormat="1" ht="12.95" customHeight="1" x14ac:dyDescent="0.2">
      <c r="C147" s="72"/>
      <c r="D147" s="72"/>
    </row>
    <row r="148" spans="3:4" s="26" customFormat="1" ht="12.95" customHeight="1" x14ac:dyDescent="0.2">
      <c r="C148" s="72"/>
      <c r="D148" s="72"/>
    </row>
    <row r="149" spans="3:4" s="26" customFormat="1" ht="12.95" customHeight="1" x14ac:dyDescent="0.2">
      <c r="C149" s="72"/>
      <c r="D149" s="72"/>
    </row>
    <row r="150" spans="3:4" s="26" customFormat="1" ht="12.95" customHeight="1" x14ac:dyDescent="0.2">
      <c r="C150" s="72"/>
      <c r="D150" s="72"/>
    </row>
    <row r="151" spans="3:4" s="26" customFormat="1" ht="12.95" customHeight="1" x14ac:dyDescent="0.2">
      <c r="C151" s="72"/>
      <c r="D151" s="72"/>
    </row>
    <row r="152" spans="3:4" s="26" customFormat="1" ht="12.95" customHeight="1" x14ac:dyDescent="0.2">
      <c r="C152" s="72"/>
      <c r="D152" s="72"/>
    </row>
    <row r="153" spans="3:4" s="26" customFormat="1" ht="12.95" customHeight="1" x14ac:dyDescent="0.2">
      <c r="C153" s="72"/>
      <c r="D153" s="72"/>
    </row>
    <row r="154" spans="3:4" s="26" customFormat="1" ht="12.95" customHeight="1" x14ac:dyDescent="0.2">
      <c r="C154" s="72"/>
      <c r="D154" s="72"/>
    </row>
    <row r="155" spans="3:4" s="26" customFormat="1" ht="12.95" customHeight="1" x14ac:dyDescent="0.2">
      <c r="C155" s="72"/>
      <c r="D155" s="72"/>
    </row>
    <row r="156" spans="3:4" s="26" customFormat="1" ht="12.95" customHeight="1" x14ac:dyDescent="0.2">
      <c r="C156" s="72"/>
      <c r="D156" s="72"/>
    </row>
    <row r="157" spans="3:4" s="26" customFormat="1" ht="12.95" customHeight="1" x14ac:dyDescent="0.2">
      <c r="C157" s="72"/>
      <c r="D157" s="72"/>
    </row>
    <row r="158" spans="3:4" s="26" customFormat="1" ht="12.95" customHeight="1" x14ac:dyDescent="0.2">
      <c r="C158" s="72"/>
      <c r="D158" s="72"/>
    </row>
    <row r="159" spans="3:4" s="26" customFormat="1" ht="12.95" customHeight="1" x14ac:dyDescent="0.2">
      <c r="C159" s="72"/>
      <c r="D159" s="72"/>
    </row>
    <row r="160" spans="3:4" s="26" customFormat="1" ht="12.95" customHeight="1" x14ac:dyDescent="0.2">
      <c r="C160" s="72"/>
      <c r="D160" s="72"/>
    </row>
    <row r="161" spans="3:4" s="26" customFormat="1" ht="12.95" customHeight="1" x14ac:dyDescent="0.2">
      <c r="C161" s="72"/>
      <c r="D161" s="72"/>
    </row>
    <row r="162" spans="3:4" s="26" customFormat="1" ht="12.95" customHeight="1" x14ac:dyDescent="0.2">
      <c r="C162" s="72"/>
      <c r="D162" s="72"/>
    </row>
    <row r="163" spans="3:4" s="26" customFormat="1" ht="12.95" customHeight="1" x14ac:dyDescent="0.2">
      <c r="C163" s="72"/>
      <c r="D163" s="72"/>
    </row>
    <row r="164" spans="3:4" s="26" customFormat="1" ht="12.95" customHeight="1" x14ac:dyDescent="0.2">
      <c r="C164" s="72"/>
      <c r="D164" s="72"/>
    </row>
    <row r="165" spans="3:4" s="26" customFormat="1" ht="12.95" customHeight="1" x14ac:dyDescent="0.2">
      <c r="C165" s="72"/>
      <c r="D165" s="72"/>
    </row>
    <row r="166" spans="3:4" s="26" customFormat="1" ht="12.95" customHeight="1" x14ac:dyDescent="0.2">
      <c r="C166" s="72"/>
      <c r="D166" s="72"/>
    </row>
    <row r="167" spans="3:4" s="26" customFormat="1" ht="12.95" customHeight="1" x14ac:dyDescent="0.2">
      <c r="C167" s="72"/>
      <c r="D167" s="72"/>
    </row>
    <row r="168" spans="3:4" s="26" customFormat="1" ht="12.95" customHeight="1" x14ac:dyDescent="0.2">
      <c r="C168" s="72"/>
      <c r="D168" s="72"/>
    </row>
    <row r="169" spans="3:4" s="26" customFormat="1" ht="12.95" customHeight="1" x14ac:dyDescent="0.2">
      <c r="C169" s="72"/>
      <c r="D169" s="72"/>
    </row>
    <row r="170" spans="3:4" s="26" customFormat="1" ht="12.95" customHeight="1" x14ac:dyDescent="0.2">
      <c r="C170" s="72"/>
      <c r="D170" s="72"/>
    </row>
    <row r="171" spans="3:4" s="26" customFormat="1" ht="12.95" customHeight="1" x14ac:dyDescent="0.2">
      <c r="C171" s="72"/>
      <c r="D171" s="72"/>
    </row>
    <row r="172" spans="3:4" s="26" customFormat="1" ht="12.95" customHeight="1" x14ac:dyDescent="0.2">
      <c r="C172" s="72"/>
      <c r="D172" s="72"/>
    </row>
    <row r="173" spans="3:4" s="26" customFormat="1" ht="12.95" customHeight="1" x14ac:dyDescent="0.2">
      <c r="C173" s="72"/>
      <c r="D173" s="72"/>
    </row>
    <row r="174" spans="3:4" s="26" customFormat="1" ht="12.95" customHeight="1" x14ac:dyDescent="0.2">
      <c r="C174" s="72"/>
      <c r="D174" s="72"/>
    </row>
    <row r="175" spans="3:4" s="26" customFormat="1" ht="12.95" customHeight="1" x14ac:dyDescent="0.2">
      <c r="C175" s="72"/>
      <c r="D175" s="72"/>
    </row>
    <row r="176" spans="3:4" s="26" customFormat="1" ht="12.95" customHeight="1" x14ac:dyDescent="0.2">
      <c r="C176" s="72"/>
      <c r="D176" s="72"/>
    </row>
    <row r="177" spans="3:4" s="26" customFormat="1" ht="12.95" customHeight="1" x14ac:dyDescent="0.2">
      <c r="C177" s="72"/>
      <c r="D177" s="72"/>
    </row>
    <row r="178" spans="3:4" s="26" customFormat="1" ht="12.95" customHeight="1" x14ac:dyDescent="0.2">
      <c r="C178" s="72"/>
      <c r="D178" s="72"/>
    </row>
    <row r="179" spans="3:4" s="26" customFormat="1" ht="12.95" customHeight="1" x14ac:dyDescent="0.2">
      <c r="C179" s="72"/>
      <c r="D179" s="72"/>
    </row>
    <row r="180" spans="3:4" s="26" customFormat="1" ht="12.95" customHeight="1" x14ac:dyDescent="0.2">
      <c r="C180" s="72"/>
      <c r="D180" s="72"/>
    </row>
    <row r="181" spans="3:4" s="26" customFormat="1" ht="12.95" customHeight="1" x14ac:dyDescent="0.2">
      <c r="C181" s="72"/>
      <c r="D181" s="72"/>
    </row>
    <row r="182" spans="3:4" s="26" customFormat="1" ht="12.95" customHeight="1" x14ac:dyDescent="0.2">
      <c r="C182" s="72"/>
      <c r="D182" s="72"/>
    </row>
    <row r="183" spans="3:4" s="26" customFormat="1" ht="12.95" customHeight="1" x14ac:dyDescent="0.2">
      <c r="C183" s="72"/>
      <c r="D183" s="72"/>
    </row>
    <row r="184" spans="3:4" s="26" customFormat="1" ht="12.95" customHeight="1" x14ac:dyDescent="0.2">
      <c r="C184" s="72"/>
      <c r="D184" s="72"/>
    </row>
    <row r="185" spans="3:4" s="26" customFormat="1" ht="12.95" customHeight="1" x14ac:dyDescent="0.2">
      <c r="C185" s="72"/>
      <c r="D185" s="72"/>
    </row>
    <row r="186" spans="3:4" s="26" customFormat="1" ht="12.95" customHeight="1" x14ac:dyDescent="0.2">
      <c r="C186" s="72"/>
      <c r="D186" s="72"/>
    </row>
    <row r="187" spans="3:4" s="26" customFormat="1" ht="12.95" customHeight="1" x14ac:dyDescent="0.2">
      <c r="C187" s="72"/>
      <c r="D187" s="72"/>
    </row>
    <row r="188" spans="3:4" s="26" customFormat="1" ht="12.95" customHeight="1" x14ac:dyDescent="0.2">
      <c r="C188" s="72"/>
      <c r="D188" s="72"/>
    </row>
    <row r="189" spans="3:4" s="26" customFormat="1" ht="12.95" customHeight="1" x14ac:dyDescent="0.2">
      <c r="C189" s="72"/>
      <c r="D189" s="72"/>
    </row>
    <row r="190" spans="3:4" s="26" customFormat="1" ht="12.95" customHeight="1" x14ac:dyDescent="0.2">
      <c r="C190" s="72"/>
      <c r="D190" s="72"/>
    </row>
    <row r="191" spans="3:4" s="26" customFormat="1" ht="12.95" customHeight="1" x14ac:dyDescent="0.2">
      <c r="C191" s="72"/>
      <c r="D191" s="72"/>
    </row>
    <row r="192" spans="3:4" s="26" customFormat="1" ht="12.95" customHeight="1" x14ac:dyDescent="0.2">
      <c r="C192" s="72"/>
      <c r="D192" s="72"/>
    </row>
    <row r="193" spans="3:4" s="26" customFormat="1" ht="12.95" customHeight="1" x14ac:dyDescent="0.2">
      <c r="C193" s="72"/>
      <c r="D193" s="72"/>
    </row>
    <row r="194" spans="3:4" s="26" customFormat="1" ht="12.95" customHeight="1" x14ac:dyDescent="0.2">
      <c r="C194" s="72"/>
      <c r="D194" s="72"/>
    </row>
    <row r="195" spans="3:4" s="26" customFormat="1" ht="12.95" customHeight="1" x14ac:dyDescent="0.2">
      <c r="C195" s="72"/>
      <c r="D195" s="72"/>
    </row>
    <row r="196" spans="3:4" s="26" customFormat="1" ht="12.95" customHeight="1" x14ac:dyDescent="0.2">
      <c r="C196" s="72"/>
      <c r="D196" s="72"/>
    </row>
    <row r="197" spans="3:4" s="26" customFormat="1" ht="12.95" customHeight="1" x14ac:dyDescent="0.2">
      <c r="C197" s="72"/>
      <c r="D197" s="72"/>
    </row>
    <row r="198" spans="3:4" s="26" customFormat="1" ht="12.95" customHeight="1" x14ac:dyDescent="0.2">
      <c r="C198" s="72"/>
      <c r="D198" s="72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</sheetData>
  <sortState xmlns:xlrd2="http://schemas.microsoft.com/office/spreadsheetml/2017/richdata2" ref="A21:U54">
    <sortCondition ref="C21:C54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2"/>
  <sheetViews>
    <sheetView workbookViewId="0">
      <selection activeCell="A20" sqref="A20:C20"/>
    </sheetView>
  </sheetViews>
  <sheetFormatPr defaultRowHeight="12.75" x14ac:dyDescent="0.2"/>
  <cols>
    <col min="1" max="1" width="19.7109375" style="5" customWidth="1"/>
    <col min="2" max="2" width="4.42578125" style="6" customWidth="1"/>
    <col min="3" max="3" width="12.7109375" style="5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5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10" t="s">
        <v>51</v>
      </c>
      <c r="I1" s="11" t="s">
        <v>52</v>
      </c>
      <c r="J1" s="12" t="s">
        <v>53</v>
      </c>
    </row>
    <row r="2" spans="1:16" x14ac:dyDescent="0.2">
      <c r="I2" s="13" t="s">
        <v>54</v>
      </c>
      <c r="J2" s="14" t="s">
        <v>55</v>
      </c>
    </row>
    <row r="3" spans="1:16" x14ac:dyDescent="0.2">
      <c r="A3" s="15" t="s">
        <v>56</v>
      </c>
      <c r="I3" s="13" t="s">
        <v>57</v>
      </c>
      <c r="J3" s="14" t="s">
        <v>58</v>
      </c>
    </row>
    <row r="4" spans="1:16" x14ac:dyDescent="0.2">
      <c r="I4" s="13" t="s">
        <v>59</v>
      </c>
      <c r="J4" s="14" t="s">
        <v>58</v>
      </c>
    </row>
    <row r="5" spans="1:16" ht="13.5" thickBot="1" x14ac:dyDescent="0.25">
      <c r="I5" s="16" t="s">
        <v>60</v>
      </c>
      <c r="J5" s="17" t="s">
        <v>61</v>
      </c>
    </row>
    <row r="10" spans="1:16" ht="13.5" thickBot="1" x14ac:dyDescent="0.25"/>
    <row r="11" spans="1:16" ht="12.75" customHeight="1" thickBot="1" x14ac:dyDescent="0.25">
      <c r="A11" s="5" t="str">
        <f t="shared" ref="A11:A20" si="0">P11</f>
        <v>IBVS 5781 </v>
      </c>
      <c r="B11" s="2" t="str">
        <f t="shared" ref="B11:B20" si="1">IF(H11=INT(H11),"I","II")</f>
        <v>II</v>
      </c>
      <c r="C11" s="5">
        <f t="shared" ref="C11:C20" si="2">1*G11</f>
        <v>54017.270499999999</v>
      </c>
      <c r="D11" s="6" t="str">
        <f t="shared" ref="D11:D20" si="3">VLOOKUP(F11,I$1:J$5,2,FALSE)</f>
        <v>vis</v>
      </c>
      <c r="E11" s="18">
        <f>VLOOKUP(C11,Active!C$21:E$972,3,FALSE)</f>
        <v>4265.5067196089421</v>
      </c>
      <c r="F11" s="2" t="s">
        <v>60</v>
      </c>
      <c r="G11" s="6" t="str">
        <f t="shared" ref="G11:G20" si="4">MID(I11,3,LEN(I11)-3)</f>
        <v>54017.2705</v>
      </c>
      <c r="H11" s="5">
        <f t="shared" ref="H11:H20" si="5">1*K11</f>
        <v>5290.5</v>
      </c>
      <c r="I11" s="19" t="s">
        <v>62</v>
      </c>
      <c r="J11" s="20" t="s">
        <v>63</v>
      </c>
      <c r="K11" s="19">
        <v>5290.5</v>
      </c>
      <c r="L11" s="19" t="s">
        <v>64</v>
      </c>
      <c r="M11" s="20" t="s">
        <v>65</v>
      </c>
      <c r="N11" s="20" t="s">
        <v>66</v>
      </c>
      <c r="O11" s="21" t="s">
        <v>67</v>
      </c>
      <c r="P11" s="22" t="s">
        <v>68</v>
      </c>
    </row>
    <row r="12" spans="1:16" ht="12.75" customHeight="1" thickBot="1" x14ac:dyDescent="0.25">
      <c r="A12" s="5" t="str">
        <f t="shared" si="0"/>
        <v>IBVS 5837 </v>
      </c>
      <c r="B12" s="2" t="str">
        <f t="shared" si="1"/>
        <v>I</v>
      </c>
      <c r="C12" s="5">
        <f t="shared" si="2"/>
        <v>54387.360000000001</v>
      </c>
      <c r="D12" s="6" t="str">
        <f t="shared" si="3"/>
        <v>vis</v>
      </c>
      <c r="E12" s="18">
        <f>VLOOKUP(C12,Active!C$21:E$972,3,FALSE)</f>
        <v>5306.0107753282418</v>
      </c>
      <c r="F12" s="2" t="s">
        <v>60</v>
      </c>
      <c r="G12" s="6" t="str">
        <f t="shared" si="4"/>
        <v>54387.3600</v>
      </c>
      <c r="H12" s="5">
        <f t="shared" si="5"/>
        <v>6331</v>
      </c>
      <c r="I12" s="19" t="s">
        <v>69</v>
      </c>
      <c r="J12" s="20" t="s">
        <v>70</v>
      </c>
      <c r="K12" s="19">
        <v>6331</v>
      </c>
      <c r="L12" s="19" t="s">
        <v>71</v>
      </c>
      <c r="M12" s="20" t="s">
        <v>65</v>
      </c>
      <c r="N12" s="20" t="s">
        <v>52</v>
      </c>
      <c r="O12" s="21" t="s">
        <v>67</v>
      </c>
      <c r="P12" s="22" t="s">
        <v>72</v>
      </c>
    </row>
    <row r="13" spans="1:16" ht="12.75" customHeight="1" thickBot="1" x14ac:dyDescent="0.25">
      <c r="A13" s="5" t="str">
        <f t="shared" si="0"/>
        <v>BAVM 209 </v>
      </c>
      <c r="B13" s="2" t="str">
        <f t="shared" si="1"/>
        <v>I</v>
      </c>
      <c r="C13" s="5">
        <f t="shared" si="2"/>
        <v>54596.500099999997</v>
      </c>
      <c r="D13" s="6" t="str">
        <f t="shared" si="3"/>
        <v>vis</v>
      </c>
      <c r="E13" s="18">
        <f>VLOOKUP(C13,Active!C$21:E$972,3,FALSE)</f>
        <v>5894.0067121584825</v>
      </c>
      <c r="F13" s="2" t="s">
        <v>60</v>
      </c>
      <c r="G13" s="6" t="str">
        <f t="shared" si="4"/>
        <v>54596.5001</v>
      </c>
      <c r="H13" s="5">
        <f t="shared" si="5"/>
        <v>6919</v>
      </c>
      <c r="I13" s="19" t="s">
        <v>73</v>
      </c>
      <c r="J13" s="20" t="s">
        <v>74</v>
      </c>
      <c r="K13" s="19">
        <v>6919</v>
      </c>
      <c r="L13" s="19" t="s">
        <v>75</v>
      </c>
      <c r="M13" s="20" t="s">
        <v>65</v>
      </c>
      <c r="N13" s="20" t="s">
        <v>76</v>
      </c>
      <c r="O13" s="21" t="s">
        <v>77</v>
      </c>
      <c r="P13" s="22" t="s">
        <v>78</v>
      </c>
    </row>
    <row r="14" spans="1:16" ht="12.75" customHeight="1" thickBot="1" x14ac:dyDescent="0.25">
      <c r="A14" s="5" t="str">
        <f t="shared" si="0"/>
        <v>IBVS 5920 </v>
      </c>
      <c r="B14" s="2" t="str">
        <f t="shared" si="1"/>
        <v>II</v>
      </c>
      <c r="C14" s="5">
        <f t="shared" si="2"/>
        <v>55049.821499999998</v>
      </c>
      <c r="D14" s="6" t="str">
        <f t="shared" si="3"/>
        <v>vis</v>
      </c>
      <c r="E14" s="18">
        <f>VLOOKUP(C14,Active!C$21:E$972,3,FALSE)</f>
        <v>7168.5166759492649</v>
      </c>
      <c r="F14" s="2" t="s">
        <v>60</v>
      </c>
      <c r="G14" s="6" t="str">
        <f t="shared" si="4"/>
        <v>55049.8215</v>
      </c>
      <c r="H14" s="5">
        <f t="shared" si="5"/>
        <v>8193.5</v>
      </c>
      <c r="I14" s="19" t="s">
        <v>79</v>
      </c>
      <c r="J14" s="20" t="s">
        <v>80</v>
      </c>
      <c r="K14" s="19" t="s">
        <v>81</v>
      </c>
      <c r="L14" s="19" t="s">
        <v>82</v>
      </c>
      <c r="M14" s="20" t="s">
        <v>65</v>
      </c>
      <c r="N14" s="20" t="s">
        <v>52</v>
      </c>
      <c r="O14" s="21" t="s">
        <v>67</v>
      </c>
      <c r="P14" s="22" t="s">
        <v>83</v>
      </c>
    </row>
    <row r="15" spans="1:16" ht="12.75" customHeight="1" thickBot="1" x14ac:dyDescent="0.25">
      <c r="A15" s="5" t="str">
        <f t="shared" si="0"/>
        <v>IBVS 5929 </v>
      </c>
      <c r="B15" s="2" t="str">
        <f t="shared" si="1"/>
        <v>I</v>
      </c>
      <c r="C15" s="5">
        <f t="shared" si="2"/>
        <v>55104.419500000004</v>
      </c>
      <c r="D15" s="6" t="str">
        <f t="shared" si="3"/>
        <v>vis</v>
      </c>
      <c r="E15" s="18">
        <f>VLOOKUP(C15,Active!C$21:E$972,3,FALSE)</f>
        <v>7322.0185732853624</v>
      </c>
      <c r="F15" s="2" t="s">
        <v>60</v>
      </c>
      <c r="G15" s="6" t="str">
        <f t="shared" si="4"/>
        <v>55104.4195</v>
      </c>
      <c r="H15" s="5">
        <f t="shared" si="5"/>
        <v>8347</v>
      </c>
      <c r="I15" s="19" t="s">
        <v>84</v>
      </c>
      <c r="J15" s="20" t="s">
        <v>85</v>
      </c>
      <c r="K15" s="19" t="s">
        <v>86</v>
      </c>
      <c r="L15" s="19" t="s">
        <v>87</v>
      </c>
      <c r="M15" s="20" t="s">
        <v>65</v>
      </c>
      <c r="N15" s="20" t="s">
        <v>66</v>
      </c>
      <c r="O15" s="21" t="s">
        <v>88</v>
      </c>
      <c r="P15" s="22" t="s">
        <v>89</v>
      </c>
    </row>
    <row r="16" spans="1:16" ht="12.75" customHeight="1" thickBot="1" x14ac:dyDescent="0.25">
      <c r="A16" s="5" t="str">
        <f t="shared" si="0"/>
        <v>IBVS 5945 </v>
      </c>
      <c r="B16" s="2" t="str">
        <f t="shared" si="1"/>
        <v>I</v>
      </c>
      <c r="C16" s="5">
        <f t="shared" si="2"/>
        <v>55338.812400000003</v>
      </c>
      <c r="D16" s="6" t="str">
        <f t="shared" si="3"/>
        <v>vis</v>
      </c>
      <c r="E16" s="18">
        <f>VLOOKUP(C16,Active!C$21:E$972,3,FALSE)</f>
        <v>7981.012581712529</v>
      </c>
      <c r="F16" s="2" t="s">
        <v>60</v>
      </c>
      <c r="G16" s="6" t="str">
        <f t="shared" si="4"/>
        <v>55338.8124</v>
      </c>
      <c r="H16" s="5">
        <f t="shared" si="5"/>
        <v>9006</v>
      </c>
      <c r="I16" s="19" t="s">
        <v>90</v>
      </c>
      <c r="J16" s="20" t="s">
        <v>91</v>
      </c>
      <c r="K16" s="19" t="s">
        <v>92</v>
      </c>
      <c r="L16" s="19" t="s">
        <v>93</v>
      </c>
      <c r="M16" s="20" t="s">
        <v>65</v>
      </c>
      <c r="N16" s="20" t="s">
        <v>60</v>
      </c>
      <c r="O16" s="21" t="s">
        <v>94</v>
      </c>
      <c r="P16" s="22" t="s">
        <v>95</v>
      </c>
    </row>
    <row r="17" spans="1:16" ht="12.75" customHeight="1" thickBot="1" x14ac:dyDescent="0.25">
      <c r="A17" s="5" t="str">
        <f t="shared" si="0"/>
        <v>BAVM 220 </v>
      </c>
      <c r="B17" s="2" t="str">
        <f t="shared" si="1"/>
        <v>I</v>
      </c>
      <c r="C17" s="5">
        <f t="shared" si="2"/>
        <v>55673.511200000001</v>
      </c>
      <c r="D17" s="6" t="str">
        <f t="shared" si="3"/>
        <v>vis</v>
      </c>
      <c r="E17" s="18">
        <f>VLOOKUP(C17,Active!C$21:E$972,3,FALSE)</f>
        <v>8922.0159304818917</v>
      </c>
      <c r="F17" s="2" t="s">
        <v>60</v>
      </c>
      <c r="G17" s="6" t="str">
        <f t="shared" si="4"/>
        <v>55673.5112</v>
      </c>
      <c r="H17" s="5">
        <f t="shared" si="5"/>
        <v>9947</v>
      </c>
      <c r="I17" s="19" t="s">
        <v>96</v>
      </c>
      <c r="J17" s="20" t="s">
        <v>97</v>
      </c>
      <c r="K17" s="19" t="s">
        <v>98</v>
      </c>
      <c r="L17" s="19" t="s">
        <v>99</v>
      </c>
      <c r="M17" s="20" t="s">
        <v>65</v>
      </c>
      <c r="N17" s="20" t="s">
        <v>76</v>
      </c>
      <c r="O17" s="21" t="s">
        <v>100</v>
      </c>
      <c r="P17" s="22" t="s">
        <v>101</v>
      </c>
    </row>
    <row r="18" spans="1:16" ht="12.75" customHeight="1" thickBot="1" x14ac:dyDescent="0.25">
      <c r="A18" s="5" t="str">
        <f t="shared" si="0"/>
        <v>BAVM 220 </v>
      </c>
      <c r="B18" s="2" t="str">
        <f t="shared" si="1"/>
        <v>I</v>
      </c>
      <c r="C18" s="5">
        <f t="shared" si="2"/>
        <v>55705.524100000002</v>
      </c>
      <c r="D18" s="6" t="str">
        <f t="shared" si="3"/>
        <v>vis</v>
      </c>
      <c r="E18" s="18">
        <f>VLOOKUP(C18,Active!C$21:E$972,3,FALSE)</f>
        <v>9012.0199762203883</v>
      </c>
      <c r="F18" s="2" t="s">
        <v>60</v>
      </c>
      <c r="G18" s="6" t="str">
        <f t="shared" si="4"/>
        <v>55705.5241</v>
      </c>
      <c r="H18" s="5">
        <f t="shared" si="5"/>
        <v>10037</v>
      </c>
      <c r="I18" s="19" t="s">
        <v>102</v>
      </c>
      <c r="J18" s="20" t="s">
        <v>103</v>
      </c>
      <c r="K18" s="19" t="s">
        <v>104</v>
      </c>
      <c r="L18" s="19" t="s">
        <v>105</v>
      </c>
      <c r="M18" s="20" t="s">
        <v>65</v>
      </c>
      <c r="N18" s="20" t="s">
        <v>76</v>
      </c>
      <c r="O18" s="21" t="s">
        <v>100</v>
      </c>
      <c r="P18" s="22" t="s">
        <v>101</v>
      </c>
    </row>
    <row r="19" spans="1:16" ht="12.75" customHeight="1" thickBot="1" x14ac:dyDescent="0.25">
      <c r="A19" s="5" t="str">
        <f t="shared" si="0"/>
        <v>IBVS 6029 </v>
      </c>
      <c r="B19" s="2" t="str">
        <f t="shared" si="1"/>
        <v>I</v>
      </c>
      <c r="C19" s="5">
        <f t="shared" si="2"/>
        <v>56087.885600000001</v>
      </c>
      <c r="D19" s="6" t="str">
        <f t="shared" si="3"/>
        <v>vis</v>
      </c>
      <c r="E19" s="18">
        <f>VLOOKUP(C19,Active!C$21:E$972,3,FALSE)</f>
        <v>10087.026674602568</v>
      </c>
      <c r="F19" s="2" t="s">
        <v>60</v>
      </c>
      <c r="G19" s="6" t="str">
        <f t="shared" si="4"/>
        <v>56087.8856</v>
      </c>
      <c r="H19" s="5">
        <f t="shared" si="5"/>
        <v>11112</v>
      </c>
      <c r="I19" s="19" t="s">
        <v>106</v>
      </c>
      <c r="J19" s="20" t="s">
        <v>107</v>
      </c>
      <c r="K19" s="19" t="s">
        <v>108</v>
      </c>
      <c r="L19" s="19" t="s">
        <v>109</v>
      </c>
      <c r="M19" s="20" t="s">
        <v>65</v>
      </c>
      <c r="N19" s="20" t="s">
        <v>60</v>
      </c>
      <c r="O19" s="21" t="s">
        <v>94</v>
      </c>
      <c r="P19" s="22" t="s">
        <v>110</v>
      </c>
    </row>
    <row r="20" spans="1:16" ht="12.75" customHeight="1" thickBot="1" x14ac:dyDescent="0.25">
      <c r="A20" s="5" t="str">
        <f t="shared" si="0"/>
        <v>BAVM 241 (=IBVS 6157) </v>
      </c>
      <c r="B20" s="2" t="str">
        <f t="shared" si="1"/>
        <v>I</v>
      </c>
      <c r="C20" s="5">
        <f t="shared" si="2"/>
        <v>57143.561199999996</v>
      </c>
      <c r="D20" s="6" t="str">
        <f t="shared" si="3"/>
        <v>vis</v>
      </c>
      <c r="E20" s="18">
        <f>VLOOKUP(C20,Active!C$21:E$972,3,FALSE)</f>
        <v>13055.051283038889</v>
      </c>
      <c r="F20" s="2" t="s">
        <v>60</v>
      </c>
      <c r="G20" s="6" t="str">
        <f t="shared" si="4"/>
        <v>57143.5612</v>
      </c>
      <c r="H20" s="5">
        <f t="shared" si="5"/>
        <v>14080</v>
      </c>
      <c r="I20" s="19" t="s">
        <v>111</v>
      </c>
      <c r="J20" s="20" t="s">
        <v>112</v>
      </c>
      <c r="K20" s="19" t="s">
        <v>113</v>
      </c>
      <c r="L20" s="19" t="s">
        <v>114</v>
      </c>
      <c r="M20" s="20" t="s">
        <v>65</v>
      </c>
      <c r="N20" s="20" t="s">
        <v>60</v>
      </c>
      <c r="O20" s="21" t="s">
        <v>115</v>
      </c>
      <c r="P20" s="22" t="s">
        <v>116</v>
      </c>
    </row>
    <row r="21" spans="1:16" x14ac:dyDescent="0.2">
      <c r="B21" s="2"/>
      <c r="E21" s="18"/>
      <c r="F21" s="2"/>
    </row>
    <row r="22" spans="1:16" x14ac:dyDescent="0.2">
      <c r="B22" s="2"/>
      <c r="E22" s="18"/>
      <c r="F22" s="2"/>
    </row>
    <row r="23" spans="1:16" x14ac:dyDescent="0.2">
      <c r="B23" s="2"/>
      <c r="E23" s="18"/>
      <c r="F23" s="2"/>
    </row>
    <row r="24" spans="1:16" x14ac:dyDescent="0.2">
      <c r="B24" s="2"/>
      <c r="E24" s="18"/>
      <c r="F24" s="2"/>
    </row>
    <row r="25" spans="1:16" x14ac:dyDescent="0.2">
      <c r="B25" s="2"/>
      <c r="E25" s="18"/>
      <c r="F25" s="2"/>
    </row>
    <row r="26" spans="1:16" x14ac:dyDescent="0.2">
      <c r="B26" s="2"/>
      <c r="E26" s="18"/>
      <c r="F26" s="2"/>
    </row>
    <row r="27" spans="1:16" x14ac:dyDescent="0.2">
      <c r="B27" s="2"/>
      <c r="E27" s="18"/>
      <c r="F27" s="2"/>
    </row>
    <row r="28" spans="1:16" x14ac:dyDescent="0.2">
      <c r="B28" s="2"/>
      <c r="E28" s="18"/>
      <c r="F28" s="2"/>
    </row>
    <row r="29" spans="1:16" x14ac:dyDescent="0.2">
      <c r="B29" s="2"/>
      <c r="E29" s="18"/>
      <c r="F29" s="2"/>
    </row>
    <row r="30" spans="1:16" x14ac:dyDescent="0.2">
      <c r="B30" s="2"/>
      <c r="E30" s="18"/>
      <c r="F30" s="2"/>
    </row>
    <row r="31" spans="1:16" x14ac:dyDescent="0.2">
      <c r="B31" s="2"/>
      <c r="E31" s="18"/>
      <c r="F31" s="2"/>
    </row>
    <row r="32" spans="1:16" x14ac:dyDescent="0.2">
      <c r="B32" s="2"/>
      <c r="E32" s="18"/>
      <c r="F32" s="2"/>
    </row>
    <row r="33" spans="2:6" x14ac:dyDescent="0.2">
      <c r="B33" s="2"/>
      <c r="E33" s="18"/>
      <c r="F33" s="2"/>
    </row>
    <row r="34" spans="2:6" x14ac:dyDescent="0.2">
      <c r="B34" s="2"/>
      <c r="E34" s="18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</sheetData>
  <phoneticPr fontId="8" type="noConversion"/>
  <hyperlinks>
    <hyperlink ref="P11" r:id="rId1" display="http://www.konkoly.hu/cgi-bin/IBVS?5781" xr:uid="{00000000-0004-0000-0100-000000000000}"/>
    <hyperlink ref="P12" r:id="rId2" display="http://www.konkoly.hu/cgi-bin/IBVS?5837" xr:uid="{00000000-0004-0000-0100-000001000000}"/>
    <hyperlink ref="P13" r:id="rId3" display="http://www.bav-astro.de/sfs/BAVM_link.php?BAVMnr=209" xr:uid="{00000000-0004-0000-0100-000002000000}"/>
    <hyperlink ref="P14" r:id="rId4" display="http://www.konkoly.hu/cgi-bin/IBVS?5920" xr:uid="{00000000-0004-0000-0100-000003000000}"/>
    <hyperlink ref="P15" r:id="rId5" display="http://www.konkoly.hu/cgi-bin/IBVS?5929" xr:uid="{00000000-0004-0000-0100-000004000000}"/>
    <hyperlink ref="P16" r:id="rId6" display="http://www.konkoly.hu/cgi-bin/IBVS?5945" xr:uid="{00000000-0004-0000-0100-000005000000}"/>
    <hyperlink ref="P17" r:id="rId7" display="http://www.bav-astro.de/sfs/BAVM_link.php?BAVMnr=220" xr:uid="{00000000-0004-0000-0100-000006000000}"/>
    <hyperlink ref="P18" r:id="rId8" display="http://www.bav-astro.de/sfs/BAVM_link.php?BAVMnr=220" xr:uid="{00000000-0004-0000-0100-000007000000}"/>
    <hyperlink ref="P19" r:id="rId9" display="http://www.konkoly.hu/cgi-bin/IBVS?6029" xr:uid="{00000000-0004-0000-0100-000008000000}"/>
    <hyperlink ref="P20" r:id="rId10" display="http://www.bav-astro.de/sfs/BAVM_link.php?BAVMnr=241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2024-01-03T05:52:08Z</dcterms:modified>
</cp:coreProperties>
</file>