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8D75ECB-DD98-47B2-A45D-B20D0290B05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/>
  <c r="C16" i="1" l="1"/>
  <c r="D18" i="1" s="1"/>
  <c r="O22" i="1"/>
  <c r="S22" i="1" s="1"/>
  <c r="O21" i="1"/>
  <c r="S21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<sst xmlns="http://schemas.openxmlformats.org/spreadsheetml/2006/main" count="55" uniqueCount="51">
  <si>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</si>
  <si>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</si>
  <si>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</si>
  <si>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</si>
  <si>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</si>
  <si>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</si>
  <si>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</si>
  <si>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</si>
  <si>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</si>
  <si>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</si>
  <si>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</si>
  <si>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</si>
  <si>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</si>
  <si>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</si>
  <si>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</si>
  <si>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</si>
  <si>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</si>
  <si>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</si>
  <si>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</si>
  <si>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</si>
  <si>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</si>
  <si>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</si>
  <si>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</si>
  <si>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</si>
  <si>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</si>
  <si>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</si>
  <si>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</si>
  <si>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</si>
  <si>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</si>
  <si>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</si>
  <si>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</si>
  <si>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</si>
  <si>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</si>
  <si>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</si>
  <si>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</si>
  <si>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</si>
  <si>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</si>
  <si>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</si>
  <si>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</si>
  <si>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</si>
  <si>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</si>
  <si>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G9373-0283</t>
  </si>
  <si>
    <t>OEJV 0160</t>
  </si>
  <si>
    <t>I</t>
  </si>
  <si>
    <t>G9373-0283_Men.xls</t>
  </si>
  <si>
    <t>EC</t>
  </si>
  <si>
    <t>Men</t>
  </si>
  <si>
    <t>VSX</t>
  </si>
  <si>
    <t>OEJV</t>
  </si>
  <si>
    <t>ASAS J045722-8022.9 Men / GSC 9373-0283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</si>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</sst>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0" fillId="2" borderId="0" xfId="0" applyFill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0" fillId="0" borderId="0" xfId="0" applyAlignment="1">
      <alignment horizontal="right"/>
    </xf>
    <xf numFmtId="0" fontId="10" fillId="0" borderId="0" xfId="0" applyFont="1" applyAlignment="1">
      <alignment horizontal="right"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ASAS J045722-8022.9 Men - O-C Diagr.</a:t>
            </a:r>
          </a:p>
        </c:rich>
      </c:tx>
      <c:layout>
        <c:manualLayout>
          <c:xMode val="edge"/>
          <c:yMode val="edge"/>
          <c:x val="0.26315789473684209"/>
          <c:y val="1.56402737047898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6B-498B-9CE4-3C08E94307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-2.7264999996987171E-2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6B-498B-9CE4-3C08E94307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6B-498B-9CE4-3C08E94307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6B-498B-9CE4-3C08E94307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6B-498B-9CE4-3C08E94307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6B-498B-9CE4-3C08E94307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6B-498B-9CE4-3C08E94307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-2.7264999996987171E-2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6B-498B-9CE4-3C08E94307B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11990.5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96B-498B-9CE4-3C08E9430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642024"/>
        <c:axId val="1"/>
      </c:scatterChart>
      <c:valAx>
        <c:axId val="552642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642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154E6C4-84F8-A6A9-B0B9-863425EBD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5" t="s">
        <v>49</v>
      </c>
      <c r="E1" t="s">
        <v>44</v>
      </c>
    </row>
    <row r="2" spans="1:7" x14ac:dyDescent="0.2">
      <c r="A2" t="s">
        <v>23</v>
      </c>
      <c r="B2" t="s">
        <v>45</v>
      </c>
      <c r="C2" s="30" t="s">
        <v>40</v>
      </c>
      <c r="D2" s="2" t="s">
        <v>46</v>
      </c>
      <c r="E2" s="31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39</v>
      </c>
      <c r="D4" s="28" t="s">
        <v>39</v>
      </c>
    </row>
    <row r="6" spans="1:7" x14ac:dyDescent="0.2">
      <c r="A6" s="4" t="s">
        <v>1</v>
      </c>
    </row>
    <row r="7" spans="1:7" x14ac:dyDescent="0.2">
      <c r="A7" t="s">
        <v>2</v>
      </c>
      <c r="C7" s="36">
        <v>51869.03</v>
      </c>
      <c r="D7" s="29" t="s">
        <v>47</v>
      </c>
    </row>
    <row r="8" spans="1:7" x14ac:dyDescent="0.2">
      <c r="A8" t="s">
        <v>3</v>
      </c>
      <c r="C8" s="36">
        <v>0.36692999999999998</v>
      </c>
      <c r="D8" s="29" t="s">
        <v>47</v>
      </c>
    </row>
    <row r="9" spans="1:7" x14ac:dyDescent="0.2">
      <c r="A9" s="8" t="s">
        <v>29</v>
      </c>
      <c r="B9" s="9"/>
      <c r="C9" s="37">
        <v>-9.5</v>
      </c>
      <c r="D9" s="9" t="s">
        <v>30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-2.2738834908458505E-6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36</v>
      </c>
      <c r="E13" s="10">
        <v>1</v>
      </c>
    </row>
    <row r="14" spans="1:7" x14ac:dyDescent="0.2">
      <c r="A14" s="9"/>
      <c r="B14" s="9"/>
      <c r="C14" s="9"/>
      <c r="D14" s="13" t="s">
        <v>31</v>
      </c>
      <c r="E14" s="14">
        <f ca="1">NOW()+15018.5+$C$9/24</f>
        <v>60326.550478240737</v>
      </c>
    </row>
    <row r="15" spans="1:7" x14ac:dyDescent="0.2">
      <c r="A15" s="11" t="s">
        <v>17</v>
      </c>
      <c r="B15" s="9"/>
      <c r="C15" s="12">
        <f ca="1">(C7+C11)+(C8+C12)*INT(MAX(F21:F3533))</f>
        <v>56268.493436136945</v>
      </c>
      <c r="D15" s="13" t="s">
        <v>37</v>
      </c>
      <c r="E15" s="14">
        <f ca="1">ROUND(2*(E14-$C$7)/$C$8,0)/2+E13</f>
        <v>23050.5</v>
      </c>
    </row>
    <row r="16" spans="1:7" x14ac:dyDescent="0.2">
      <c r="A16" s="15" t="s">
        <v>4</v>
      </c>
      <c r="B16" s="9"/>
      <c r="C16" s="16">
        <f ca="1">+C8+C12</f>
        <v>0.36692772611650915</v>
      </c>
      <c r="D16" s="13" t="s">
        <v>38</v>
      </c>
      <c r="E16" s="23">
        <f ca="1">ROUND(2*(E14-$C$15)/$C$16,0)/2+E13</f>
        <v>11060.5</v>
      </c>
    </row>
    <row r="17" spans="1:19" ht="13.5" thickBot="1" x14ac:dyDescent="0.25">
      <c r="A17" s="13" t="s">
        <v>28</v>
      </c>
      <c r="B17" s="9"/>
      <c r="C17" s="9">
        <f>COUNT(C21:C2191)</f>
        <v>2</v>
      </c>
      <c r="D17" s="13" t="s">
        <v>32</v>
      </c>
      <c r="E17" s="17">
        <f ca="1">+$C$15+$C$16*E16-15018.5-$C$9/24</f>
        <v>45308.793384181932</v>
      </c>
    </row>
    <row r="18" spans="1:19" ht="14.25" thickTop="1" thickBot="1" x14ac:dyDescent="0.25">
      <c r="A18" s="15" t="s">
        <v>5</v>
      </c>
      <c r="B18" s="9"/>
      <c r="C18" s="18">
        <f ca="1">+C15</f>
        <v>56268.493436136945</v>
      </c>
      <c r="D18" s="19">
        <f ca="1">+C16</f>
        <v>0.36692772611650915</v>
      </c>
      <c r="E18" s="20" t="s">
        <v>33</v>
      </c>
    </row>
    <row r="19" spans="1:19" ht="13.5" thickTop="1" x14ac:dyDescent="0.2">
      <c r="A19" s="24" t="s">
        <v>34</v>
      </c>
      <c r="E19" s="25">
        <v>21</v>
      </c>
      <c r="S19">
        <f ca="1">SQRT(SUM(S21:S50)/(COUNT(S21:S50)-1))</f>
        <v>0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48</v>
      </c>
      <c r="J20" s="6" t="s">
        <v>50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35</v>
      </c>
    </row>
    <row r="21" spans="1:19" x14ac:dyDescent="0.2">
      <c r="A21" t="str">
        <f>D7</f>
        <v>VSX</v>
      </c>
      <c r="C21" s="7">
        <f>C$7</f>
        <v>51869.03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36850.53</v>
      </c>
      <c r="S21">
        <f ca="1">+(O21-G21)^2</f>
        <v>0</v>
      </c>
    </row>
    <row r="22" spans="1:19" x14ac:dyDescent="0.2">
      <c r="A22" s="32" t="s">
        <v>42</v>
      </c>
      <c r="B22" s="33" t="s">
        <v>43</v>
      </c>
      <c r="C22" s="34">
        <v>56268.676899999999</v>
      </c>
      <c r="D22" s="34">
        <v>2.9999999999999997E-4</v>
      </c>
      <c r="E22">
        <f>+(C22-C$7)/C$8</f>
        <v>11990.425694274112</v>
      </c>
      <c r="F22">
        <f>ROUND(2*E22,0)/2</f>
        <v>11990.5</v>
      </c>
      <c r="G22">
        <f>+C22-(C$7+F22*C$8)</f>
        <v>-2.7264999996987171E-2</v>
      </c>
      <c r="I22">
        <f>+G22</f>
        <v>-2.7264999996987171E-2</v>
      </c>
      <c r="O22">
        <f ca="1">+C$11+C$12*$F22</f>
        <v>-2.7264999996987171E-2</v>
      </c>
      <c r="Q22" s="1">
        <f>+C22-15018.5</f>
        <v>41250.176899999999</v>
      </c>
      <c r="S22">
        <f ca="1">+(O22-G22)^2</f>
        <v>0</v>
      </c>
    </row>
    <row r="23" spans="1:19" x14ac:dyDescent="0.2">
      <c r="C23" s="7"/>
      <c r="D23" s="7"/>
      <c r="Q23" s="1"/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2024-01-17T00:12:41Z</dcterms:modified>
</cp:coreProperties>
</file>