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327AD81-D0FA-493C-A42E-7313835721DB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2" r:id="rId1"/>
    <sheet name="Active 2" sheetId="3" r:id="rId2"/>
    <sheet name="Active 3" sheetId="4" r:id="rId3"/>
  </sheets>
  <calcPr calcId="181029"/>
</workbook>
</file>

<file path=xl/calcChain.xml><?xml version="1.0" encoding="utf-8"?>
<calcChain xmlns="http://schemas.openxmlformats.org/spreadsheetml/2006/main">
  <c r="G11" i="3" l="1"/>
  <c r="F11" i="3"/>
  <c r="E14" i="3"/>
  <c r="E15" i="3" s="1"/>
  <c r="C17" i="3"/>
  <c r="F11" i="4"/>
  <c r="G11" i="4"/>
  <c r="E22" i="4"/>
  <c r="F22" i="4"/>
  <c r="G22" i="4"/>
  <c r="I22" i="4"/>
  <c r="E23" i="4"/>
  <c r="F23" i="4"/>
  <c r="G23" i="4"/>
  <c r="I23" i="4"/>
  <c r="E24" i="4"/>
  <c r="F24" i="4"/>
  <c r="G24" i="4"/>
  <c r="I24" i="4"/>
  <c r="E21" i="4"/>
  <c r="F21" i="4"/>
  <c r="G21" i="4"/>
  <c r="H21" i="4"/>
  <c r="E15" i="4"/>
  <c r="C17" i="4"/>
  <c r="Q21" i="4"/>
  <c r="Q22" i="4"/>
  <c r="Q23" i="4"/>
  <c r="Q24" i="4"/>
  <c r="E21" i="3"/>
  <c r="F21" i="3"/>
  <c r="G21" i="3"/>
  <c r="H21" i="3"/>
  <c r="Q24" i="3"/>
  <c r="F24" i="3"/>
  <c r="G24" i="3"/>
  <c r="I24" i="3"/>
  <c r="E22" i="3"/>
  <c r="F22" i="3"/>
  <c r="G22" i="3"/>
  <c r="I22" i="3"/>
  <c r="E23" i="3"/>
  <c r="F23" i="3"/>
  <c r="G23" i="3"/>
  <c r="I23" i="3"/>
  <c r="E24" i="3"/>
  <c r="Q21" i="3"/>
  <c r="Q22" i="3"/>
  <c r="Q23" i="3"/>
  <c r="G11" i="2"/>
  <c r="F11" i="2"/>
  <c r="Q24" i="2"/>
  <c r="C7" i="2"/>
  <c r="E24" i="2"/>
  <c r="F24" i="2"/>
  <c r="G24" i="2"/>
  <c r="I24" i="2"/>
  <c r="C8" i="2"/>
  <c r="E23" i="2"/>
  <c r="F23" i="2"/>
  <c r="G23" i="2"/>
  <c r="I23" i="2"/>
  <c r="E21" i="2"/>
  <c r="F21" i="2"/>
  <c r="G21" i="2"/>
  <c r="H21" i="2"/>
  <c r="E15" i="2"/>
  <c r="C17" i="2"/>
  <c r="Q21" i="2"/>
  <c r="E22" i="2"/>
  <c r="F22" i="2"/>
  <c r="G22" i="2"/>
  <c r="I22" i="2"/>
  <c r="Q22" i="2"/>
  <c r="Q23" i="2"/>
  <c r="C12" i="4"/>
  <c r="C11" i="2"/>
  <c r="C12" i="2"/>
  <c r="C11" i="4"/>
  <c r="C11" i="3"/>
  <c r="C12" i="3"/>
  <c r="C16" i="3" l="1"/>
  <c r="D18" i="3" s="1"/>
  <c r="C15" i="3"/>
  <c r="O23" i="3"/>
  <c r="O21" i="3"/>
  <c r="O22" i="3"/>
  <c r="O24" i="3"/>
  <c r="C15" i="4"/>
  <c r="O23" i="4"/>
  <c r="O22" i="4"/>
  <c r="O21" i="4"/>
  <c r="O24" i="4"/>
  <c r="C16" i="2"/>
  <c r="D18" i="2" s="1"/>
  <c r="O24" i="2"/>
  <c r="O22" i="2"/>
  <c r="C15" i="2"/>
  <c r="O21" i="2"/>
  <c r="O23" i="2"/>
  <c r="C16" i="4"/>
  <c r="D18" i="4" s="1"/>
  <c r="E16" i="2" l="1"/>
  <c r="E17" i="2" s="1"/>
  <c r="C18" i="2"/>
  <c r="E16" i="4"/>
  <c r="E17" i="4" s="1"/>
  <c r="C18" i="4"/>
  <c r="C18" i="3"/>
  <c r="E16" i="3"/>
  <c r="E17" i="3" s="1"/>
</calcChain>
</file>

<file path=xl/sharedStrings.xml><?xml version="1.0" encoding="utf-8"?>
<sst xmlns="http://schemas.openxmlformats.org/spreadsheetml/2006/main" count="159" uniqueCount="50">
  <si>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</si>
  <si>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</si>
  <si>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</si>
  <si>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</si>
  <si>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</si>
  <si>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</si>
  <si>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</si>
  <si>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</si>
  <si>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</si>
  <si>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</si>
  <si>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</si>
  <si>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</si>
  <si>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</si>
  <si>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</si>
  <si>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</si>
  <si>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</si>
  <si>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</si>
  <si>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</si>
  <si>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</si>
  <si>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</si>
  <si>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</si>
  <si>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</si>
  <si>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</si>
  <si>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</si>
  <si>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</si>
  <si>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</si>
  <si>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</si>
  <si>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</si>
  <si>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</si>
  <si>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</si>
  <si>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</si>
  <si>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</si>
  <si>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</si>
  <si>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</si>
  <si>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</si>
  <si>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</si>
  <si>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</si>
  <si>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</si>
  <si>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</si>
  <si>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EW Mon / g5957-1076</t>
  </si>
  <si>
    <t>EA</t>
  </si>
  <si>
    <t>Mon_EW.xls</t>
  </si>
  <si>
    <t>IBVS 5806</t>
  </si>
  <si>
    <t>II</t>
  </si>
  <si>
    <t>I</t>
  </si>
  <si>
    <t>&lt;&lt; Likely fix in cycle count</t>
  </si>
  <si>
    <t>IBVS 5894</t>
  </si>
  <si>
    <t>Add cycle</t>
  </si>
  <si>
    <t>Old Cycle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</si>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</sst>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2" borderId="0" xfId="0" applyFont="1" applyFill="1" applyAlignment="1"/>
    <xf numFmtId="0" fontId="15" fillId="0" borderId="0" xfId="0" quotePrefix="1" applyFont="1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0" fillId="2" borderId="0" xfId="0" applyFont="1" applyFill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EW Mon - O-C Diagr.</a:t>
            </a:r>
          </a:p>
        </c:rich>
      </c:tx>
      <c:layout>
        <c:manualLayout>
          <c:xMode val="edge"/>
          <c:yMode val="edge"/>
          <c:x val="0.38045112781954887"/>
          <c:y val="3.6544850498338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5946869722782331"/>
          <c:w val="0.81654135338345868"/>
          <c:h val="0.598007614604337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23182.5</c:v>
                </c:pt>
                <c:pt idx="2">
                  <c:v>23205</c:v>
                </c:pt>
                <c:pt idx="3">
                  <c:v>23855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CE-4D34-B439-2F67745F9157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23182.5</c:v>
                </c:pt>
                <c:pt idx="2">
                  <c:v>23205</c:v>
                </c:pt>
                <c:pt idx="3">
                  <c:v>23855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12.858394999799202</c:v>
                </c:pt>
                <c:pt idx="2">
                  <c:v>12.870430000097258</c:v>
                </c:pt>
                <c:pt idx="3">
                  <c:v>12.875830000004498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CE-4D34-B439-2F67745F9157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23182.5</c:v>
                </c:pt>
                <c:pt idx="2">
                  <c:v>23205</c:v>
                </c:pt>
                <c:pt idx="3">
                  <c:v>23855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CE-4D34-B439-2F67745F9157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23182.5</c:v>
                </c:pt>
                <c:pt idx="2">
                  <c:v>23205</c:v>
                </c:pt>
                <c:pt idx="3">
                  <c:v>23855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CE-4D34-B439-2F67745F9157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23182.5</c:v>
                </c:pt>
                <c:pt idx="2">
                  <c:v>23205</c:v>
                </c:pt>
                <c:pt idx="3">
                  <c:v>23855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CE-4D34-B439-2F67745F9157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23182.5</c:v>
                </c:pt>
                <c:pt idx="2">
                  <c:v>23205</c:v>
                </c:pt>
                <c:pt idx="3">
                  <c:v>23855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CE-4D34-B439-2F67745F9157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23182.5</c:v>
                </c:pt>
                <c:pt idx="2">
                  <c:v>23205</c:v>
                </c:pt>
                <c:pt idx="3">
                  <c:v>23855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CE-4D34-B439-2F67745F9157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23182.5</c:v>
                </c:pt>
                <c:pt idx="2">
                  <c:v>23205</c:v>
                </c:pt>
                <c:pt idx="3">
                  <c:v>23855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12.453421660494097</c:v>
                </c:pt>
                <c:pt idx="1">
                  <c:v>12.864114212752213</c:v>
                </c:pt>
                <c:pt idx="2">
                  <c:v>12.864512814388181</c:v>
                </c:pt>
                <c:pt idx="3">
                  <c:v>12.876027972760564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CE-4D34-B439-2F67745F9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097848"/>
        <c:axId val="1"/>
      </c:scatterChart>
      <c:valAx>
        <c:axId val="785097848"/>
        <c:scaling>
          <c:orientation val="minMax"/>
          <c:max val="24000"/>
          <c:min val="2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27243920091383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2.9"/>
          <c:min val="12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58804684298183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5097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59398496240602"/>
          <c:y val="0.91362265763291206"/>
          <c:w val="0.6601503759398496"/>
          <c:h val="6.64451827242524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EW Mon - O-C Diagr.</a:t>
            </a:r>
          </a:p>
        </c:rich>
      </c:tx>
      <c:layout>
        <c:manualLayout>
          <c:xMode val="edge"/>
          <c:yMode val="edge"/>
          <c:x val="0.3798805104316915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1428144103299"/>
          <c:y val="0.14035127795846455"/>
          <c:w val="0.83934057007286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23182.5</c:v>
                </c:pt>
                <c:pt idx="2">
                  <c:v>23205</c:v>
                </c:pt>
                <c:pt idx="3">
                  <c:v>23855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64-45F1-B857-48D6EBA6DB2C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23182.5</c:v>
                </c:pt>
                <c:pt idx="2">
                  <c:v>23205</c:v>
                </c:pt>
                <c:pt idx="3">
                  <c:v>23855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12.858394999799202</c:v>
                </c:pt>
                <c:pt idx="2">
                  <c:v>12.870430000097258</c:v>
                </c:pt>
                <c:pt idx="3">
                  <c:v>12.875830000004498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64-45F1-B857-48D6EBA6DB2C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23182.5</c:v>
                </c:pt>
                <c:pt idx="2">
                  <c:v>23205</c:v>
                </c:pt>
                <c:pt idx="3">
                  <c:v>23855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64-45F1-B857-48D6EBA6DB2C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23182.5</c:v>
                </c:pt>
                <c:pt idx="2">
                  <c:v>23205</c:v>
                </c:pt>
                <c:pt idx="3">
                  <c:v>23855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64-45F1-B857-48D6EBA6DB2C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23182.5</c:v>
                </c:pt>
                <c:pt idx="2">
                  <c:v>23205</c:v>
                </c:pt>
                <c:pt idx="3">
                  <c:v>23855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64-45F1-B857-48D6EBA6DB2C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23182.5</c:v>
                </c:pt>
                <c:pt idx="2">
                  <c:v>23205</c:v>
                </c:pt>
                <c:pt idx="3">
                  <c:v>23855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64-45F1-B857-48D6EBA6DB2C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23182.5</c:v>
                </c:pt>
                <c:pt idx="2">
                  <c:v>23205</c:v>
                </c:pt>
                <c:pt idx="3">
                  <c:v>23855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664-45F1-B857-48D6EBA6DB2C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23182.5</c:v>
                </c:pt>
                <c:pt idx="2">
                  <c:v>23205</c:v>
                </c:pt>
                <c:pt idx="3">
                  <c:v>23855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12.453421660494097</c:v>
                </c:pt>
                <c:pt idx="1">
                  <c:v>12.864114212752213</c:v>
                </c:pt>
                <c:pt idx="2">
                  <c:v>12.864512814388181</c:v>
                </c:pt>
                <c:pt idx="3">
                  <c:v>12.876027972760564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664-45F1-B857-48D6EBA6D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863424"/>
        <c:axId val="1"/>
      </c:scatterChart>
      <c:valAx>
        <c:axId val="491863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0158032047795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1863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822854350413405"/>
          <c:y val="0.92397937099967764"/>
          <c:w val="0.659160104986876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EW Mon - O-C Diagr.</a:t>
            </a:r>
          </a:p>
        </c:rich>
      </c:tx>
      <c:layout>
        <c:manualLayout>
          <c:xMode val="edge"/>
          <c:yMode val="edge"/>
          <c:x val="0.38045112781954887"/>
          <c:y val="3.6544850498338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30075187969924"/>
          <c:y val="0.15946869722782331"/>
          <c:w val="0.83007518796992485"/>
          <c:h val="0.598007614604337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-23855.5</c:v>
                </c:pt>
                <c:pt idx="1">
                  <c:v>-672.5</c:v>
                </c:pt>
                <c:pt idx="2">
                  <c:v>-650</c:v>
                </c:pt>
                <c:pt idx="3">
                  <c:v>-0.5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0.16177142408196232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A6-4C80-B1C6-65B881819699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-23855.5</c:v>
                </c:pt>
                <c:pt idx="1">
                  <c:v>-672.5</c:v>
                </c:pt>
                <c:pt idx="2">
                  <c:v>-650</c:v>
                </c:pt>
                <c:pt idx="3">
                  <c:v>-0.5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1">
                  <c:v>0</c:v>
                </c:pt>
                <c:pt idx="2">
                  <c:v>0</c:v>
                </c:pt>
                <c:pt idx="3">
                  <c:v>0.27782665780978277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A6-4C80-B1C6-65B881819699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-23855.5</c:v>
                </c:pt>
                <c:pt idx="1">
                  <c:v>-672.5</c:v>
                </c:pt>
                <c:pt idx="2">
                  <c:v>-650</c:v>
                </c:pt>
                <c:pt idx="3">
                  <c:v>-0.5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A6-4C80-B1C6-65B881819699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-23855.5</c:v>
                </c:pt>
                <c:pt idx="1">
                  <c:v>-672.5</c:v>
                </c:pt>
                <c:pt idx="2">
                  <c:v>-650</c:v>
                </c:pt>
                <c:pt idx="3">
                  <c:v>-0.5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A6-4C80-B1C6-65B881819699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-23855.5</c:v>
                </c:pt>
                <c:pt idx="1">
                  <c:v>-672.5</c:v>
                </c:pt>
                <c:pt idx="2">
                  <c:v>-650</c:v>
                </c:pt>
                <c:pt idx="3">
                  <c:v>-0.5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0A6-4C80-B1C6-65B881819699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-23855.5</c:v>
                </c:pt>
                <c:pt idx="1">
                  <c:v>-672.5</c:v>
                </c:pt>
                <c:pt idx="2">
                  <c:v>-650</c:v>
                </c:pt>
                <c:pt idx="3">
                  <c:v>-0.5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0A6-4C80-B1C6-65B881819699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-23855.5</c:v>
                </c:pt>
                <c:pt idx="1">
                  <c:v>-672.5</c:v>
                </c:pt>
                <c:pt idx="2">
                  <c:v>-650</c:v>
                </c:pt>
                <c:pt idx="3">
                  <c:v>-0.5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0A6-4C80-B1C6-65B881819699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-23855.5</c:v>
                </c:pt>
                <c:pt idx="1">
                  <c:v>-672.5</c:v>
                </c:pt>
                <c:pt idx="2">
                  <c:v>-650</c:v>
                </c:pt>
                <c:pt idx="3">
                  <c:v>-0.5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-9.7439705689324505</c:v>
                </c:pt>
                <c:pt idx="1">
                  <c:v>-4.6457273928461884E-3</c:v>
                </c:pt>
                <c:pt idx="2">
                  <c:v>4.8066648313974669E-3</c:v>
                </c:pt>
                <c:pt idx="3">
                  <c:v>0.27766572037123155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0A6-4C80-B1C6-65B881819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020176"/>
        <c:axId val="1"/>
      </c:scatterChart>
      <c:valAx>
        <c:axId val="103020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27243920091383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58804684298183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020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857142857142856"/>
          <c:y val="0.91362265763291206"/>
          <c:w val="0.6601503759398496"/>
          <c:h val="6.64451827242524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EW Mon - O-C Diagr.</a:t>
            </a:r>
          </a:p>
        </c:rich>
      </c:tx>
      <c:layout>
        <c:manualLayout>
          <c:xMode val="edge"/>
          <c:yMode val="edge"/>
          <c:x val="0.3798805104316915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4035127795846455"/>
          <c:w val="0.8213225256348032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-23855.5</c:v>
                </c:pt>
                <c:pt idx="1">
                  <c:v>-672.5</c:v>
                </c:pt>
                <c:pt idx="2">
                  <c:v>-650</c:v>
                </c:pt>
                <c:pt idx="3">
                  <c:v>-0.5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0.16177142408196232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2C-4D1D-98DC-ADF1E85A68BF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-23855.5</c:v>
                </c:pt>
                <c:pt idx="1">
                  <c:v>-672.5</c:v>
                </c:pt>
                <c:pt idx="2">
                  <c:v>-650</c:v>
                </c:pt>
                <c:pt idx="3">
                  <c:v>-0.5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1">
                  <c:v>0</c:v>
                </c:pt>
                <c:pt idx="2">
                  <c:v>0</c:v>
                </c:pt>
                <c:pt idx="3">
                  <c:v>0.27782665780978277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2C-4D1D-98DC-ADF1E85A68BF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-23855.5</c:v>
                </c:pt>
                <c:pt idx="1">
                  <c:v>-672.5</c:v>
                </c:pt>
                <c:pt idx="2">
                  <c:v>-650</c:v>
                </c:pt>
                <c:pt idx="3">
                  <c:v>-0.5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2C-4D1D-98DC-ADF1E85A68BF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-23855.5</c:v>
                </c:pt>
                <c:pt idx="1">
                  <c:v>-672.5</c:v>
                </c:pt>
                <c:pt idx="2">
                  <c:v>-650</c:v>
                </c:pt>
                <c:pt idx="3">
                  <c:v>-0.5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2C-4D1D-98DC-ADF1E85A68BF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-23855.5</c:v>
                </c:pt>
                <c:pt idx="1">
                  <c:v>-672.5</c:v>
                </c:pt>
                <c:pt idx="2">
                  <c:v>-650</c:v>
                </c:pt>
                <c:pt idx="3">
                  <c:v>-0.5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2C-4D1D-98DC-ADF1E85A68BF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-23855.5</c:v>
                </c:pt>
                <c:pt idx="1">
                  <c:v>-672.5</c:v>
                </c:pt>
                <c:pt idx="2">
                  <c:v>-650</c:v>
                </c:pt>
                <c:pt idx="3">
                  <c:v>-0.5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22C-4D1D-98DC-ADF1E85A68BF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-23855.5</c:v>
                </c:pt>
                <c:pt idx="1">
                  <c:v>-672.5</c:v>
                </c:pt>
                <c:pt idx="2">
                  <c:v>-650</c:v>
                </c:pt>
                <c:pt idx="3">
                  <c:v>-0.5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22C-4D1D-98DC-ADF1E85A68BF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-23855.5</c:v>
                </c:pt>
                <c:pt idx="1">
                  <c:v>-672.5</c:v>
                </c:pt>
                <c:pt idx="2">
                  <c:v>-650</c:v>
                </c:pt>
                <c:pt idx="3">
                  <c:v>-0.5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-9.7439705689324505</c:v>
                </c:pt>
                <c:pt idx="1">
                  <c:v>-4.6457273928461884E-3</c:v>
                </c:pt>
                <c:pt idx="2">
                  <c:v>4.8066648313974669E-3</c:v>
                </c:pt>
                <c:pt idx="3">
                  <c:v>0.27766572037123155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22C-4D1D-98DC-ADF1E85A6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9516392"/>
        <c:axId val="1"/>
      </c:scatterChart>
      <c:valAx>
        <c:axId val="729516392"/>
        <c:scaling>
          <c:orientation val="minMax"/>
          <c:max val="0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3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9516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23755251314305"/>
          <c:y val="0.92397937099967764"/>
          <c:w val="0.659160104986876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EW Mon - O-C Diagr.</a:t>
            </a:r>
          </a:p>
        </c:rich>
      </c:tx>
      <c:layout>
        <c:manualLayout>
          <c:xMode val="edge"/>
          <c:yMode val="edge"/>
          <c:x val="0.38045112781954887"/>
          <c:y val="3.6544850498338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5946869722782331"/>
          <c:w val="0.80751879699248119"/>
          <c:h val="0.598007614604337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3'!$D$21:$D$239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-23846.5</c:v>
                </c:pt>
                <c:pt idx="1">
                  <c:v>-671.5</c:v>
                </c:pt>
                <c:pt idx="2">
                  <c:v>-649</c:v>
                </c:pt>
                <c:pt idx="3">
                  <c:v>0.5</c:v>
                </c:pt>
              </c:numCache>
            </c:numRef>
          </c:xVal>
          <c:yVal>
            <c:numRef>
              <c:f>'Active 3'!$H$21:$H$999</c:f>
              <c:numCache>
                <c:formatCode>General</c:formatCode>
                <c:ptCount val="979"/>
                <c:pt idx="0">
                  <c:v>-1.9289968764496734E-2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0D-428B-9420-8D324C99FE97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-23846.5</c:v>
                </c:pt>
                <c:pt idx="1">
                  <c:v>-671.5</c:v>
                </c:pt>
                <c:pt idx="2">
                  <c:v>-649</c:v>
                </c:pt>
                <c:pt idx="3">
                  <c:v>0.5</c:v>
                </c:pt>
              </c:numCache>
            </c:numRef>
          </c:xVal>
          <c:yVal>
            <c:numRef>
              <c:f>'Active 3'!$I$21:$I$999</c:f>
              <c:numCache>
                <c:formatCode>General</c:formatCode>
                <c:ptCount val="979"/>
                <c:pt idx="1">
                  <c:v>4.6457274002023041E-3</c:v>
                </c:pt>
                <c:pt idx="2">
                  <c:v>-4.8066648232634179E-3</c:v>
                </c:pt>
                <c:pt idx="3">
                  <c:v>1.6093744488898665E-4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0D-428B-9420-8D324C99FE97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-23846.5</c:v>
                </c:pt>
                <c:pt idx="1">
                  <c:v>-671.5</c:v>
                </c:pt>
                <c:pt idx="2">
                  <c:v>-649</c:v>
                </c:pt>
                <c:pt idx="3">
                  <c:v>0.5</c:v>
                </c:pt>
              </c:numCache>
            </c:numRef>
          </c:xVal>
          <c:yVal>
            <c:numRef>
              <c:f>'Active 3'!$J$21:$J$999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0D-428B-9420-8D324C99FE97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-23846.5</c:v>
                </c:pt>
                <c:pt idx="1">
                  <c:v>-671.5</c:v>
                </c:pt>
                <c:pt idx="2">
                  <c:v>-649</c:v>
                </c:pt>
                <c:pt idx="3">
                  <c:v>0.5</c:v>
                </c:pt>
              </c:numCache>
            </c:numRef>
          </c:xVal>
          <c:yVal>
            <c:numRef>
              <c:f>'Active 3'!$K$21:$K$999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0D-428B-9420-8D324C99FE97}"/>
            </c:ext>
          </c:extLst>
        </c:ser>
        <c:ser>
          <c:idx val="2"/>
          <c:order val="4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-23846.5</c:v>
                </c:pt>
                <c:pt idx="1">
                  <c:v>-671.5</c:v>
                </c:pt>
                <c:pt idx="2">
                  <c:v>-649</c:v>
                </c:pt>
                <c:pt idx="3">
                  <c:v>0.5</c:v>
                </c:pt>
              </c:numCache>
            </c:numRef>
          </c:xVal>
          <c:yVal>
            <c:numRef>
              <c:f>'Active 3'!$L$21:$L$999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0D-428B-9420-8D324C99FE97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-23846.5</c:v>
                </c:pt>
                <c:pt idx="1">
                  <c:v>-671.5</c:v>
                </c:pt>
                <c:pt idx="2">
                  <c:v>-649</c:v>
                </c:pt>
                <c:pt idx="3">
                  <c:v>0.5</c:v>
                </c:pt>
              </c:numCache>
            </c:numRef>
          </c:xVal>
          <c:yVal>
            <c:numRef>
              <c:f>'Active 3'!$M$21:$M$999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0D-428B-9420-8D324C99FE97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-23846.5</c:v>
                </c:pt>
                <c:pt idx="1">
                  <c:v>-671.5</c:v>
                </c:pt>
                <c:pt idx="2">
                  <c:v>-649</c:v>
                </c:pt>
                <c:pt idx="3">
                  <c:v>0.5</c:v>
                </c:pt>
              </c:numCache>
            </c:numRef>
          </c:xVal>
          <c:yVal>
            <c:numRef>
              <c:f>'Active 3'!$N$21:$N$999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0D-428B-9420-8D324C99FE97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3'!$F$21:$F$999</c:f>
              <c:numCache>
                <c:formatCode>General</c:formatCode>
                <c:ptCount val="979"/>
                <c:pt idx="0">
                  <c:v>-23846.5</c:v>
                </c:pt>
                <c:pt idx="1">
                  <c:v>-671.5</c:v>
                </c:pt>
                <c:pt idx="2">
                  <c:v>-649</c:v>
                </c:pt>
                <c:pt idx="3">
                  <c:v>0.5</c:v>
                </c:pt>
              </c:numCache>
            </c:numRef>
          </c:xVal>
          <c:yVal>
            <c:numRef>
              <c:f>'Active 3'!$O$21:$O$999</c:f>
              <c:numCache>
                <c:formatCode>General</c:formatCode>
                <c:ptCount val="979"/>
                <c:pt idx="0">
                  <c:v>-1.9279719058951227E-2</c:v>
                </c:pt>
                <c:pt idx="1">
                  <c:v>-1.9406719367978556E-4</c:v>
                </c:pt>
                <c:pt idx="2">
                  <c:v>-1.7553743458728903E-4</c:v>
                </c:pt>
                <c:pt idx="3">
                  <c:v>3.5935494454944472E-4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0D-428B-9420-8D324C99F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2515464"/>
        <c:axId val="1"/>
      </c:scatterChart>
      <c:valAx>
        <c:axId val="742515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27243920091383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58804684298183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2515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09774436090225"/>
          <c:y val="0.91362265763291206"/>
          <c:w val="0.6601503759398496"/>
          <c:h val="6.64451827242524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EW Mon - O-C Diagr.</a:t>
            </a:r>
          </a:p>
        </c:rich>
      </c:tx>
      <c:layout>
        <c:manualLayout>
          <c:xMode val="edge"/>
          <c:yMode val="edge"/>
          <c:x val="0.3798805104316915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4035127795846455"/>
          <c:w val="0.8213225256348032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3'!$D$21:$D$239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-23846.5</c:v>
                </c:pt>
                <c:pt idx="1">
                  <c:v>-671.5</c:v>
                </c:pt>
                <c:pt idx="2">
                  <c:v>-649</c:v>
                </c:pt>
                <c:pt idx="3">
                  <c:v>0.5</c:v>
                </c:pt>
              </c:numCache>
            </c:numRef>
          </c:xVal>
          <c:yVal>
            <c:numRef>
              <c:f>'Active 3'!$H$21:$H$999</c:f>
              <c:numCache>
                <c:formatCode>General</c:formatCode>
                <c:ptCount val="979"/>
                <c:pt idx="0">
                  <c:v>-1.9289968764496734E-2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E4-43E5-8F87-18ACF42378E7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-23846.5</c:v>
                </c:pt>
                <c:pt idx="1">
                  <c:v>-671.5</c:v>
                </c:pt>
                <c:pt idx="2">
                  <c:v>-649</c:v>
                </c:pt>
                <c:pt idx="3">
                  <c:v>0.5</c:v>
                </c:pt>
              </c:numCache>
            </c:numRef>
          </c:xVal>
          <c:yVal>
            <c:numRef>
              <c:f>'Active 3'!$I$21:$I$999</c:f>
              <c:numCache>
                <c:formatCode>General</c:formatCode>
                <c:ptCount val="979"/>
                <c:pt idx="1">
                  <c:v>4.6457274002023041E-3</c:v>
                </c:pt>
                <c:pt idx="2">
                  <c:v>-4.8066648232634179E-3</c:v>
                </c:pt>
                <c:pt idx="3">
                  <c:v>1.6093744488898665E-4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E4-43E5-8F87-18ACF42378E7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-23846.5</c:v>
                </c:pt>
                <c:pt idx="1">
                  <c:v>-671.5</c:v>
                </c:pt>
                <c:pt idx="2">
                  <c:v>-649</c:v>
                </c:pt>
                <c:pt idx="3">
                  <c:v>0.5</c:v>
                </c:pt>
              </c:numCache>
            </c:numRef>
          </c:xVal>
          <c:yVal>
            <c:numRef>
              <c:f>'Active 3'!$J$21:$J$999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E4-43E5-8F87-18ACF42378E7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-23846.5</c:v>
                </c:pt>
                <c:pt idx="1">
                  <c:v>-671.5</c:v>
                </c:pt>
                <c:pt idx="2">
                  <c:v>-649</c:v>
                </c:pt>
                <c:pt idx="3">
                  <c:v>0.5</c:v>
                </c:pt>
              </c:numCache>
            </c:numRef>
          </c:xVal>
          <c:yVal>
            <c:numRef>
              <c:f>'Active 3'!$K$21:$K$999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E4-43E5-8F87-18ACF42378E7}"/>
            </c:ext>
          </c:extLst>
        </c:ser>
        <c:ser>
          <c:idx val="2"/>
          <c:order val="4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-23846.5</c:v>
                </c:pt>
                <c:pt idx="1">
                  <c:v>-671.5</c:v>
                </c:pt>
                <c:pt idx="2">
                  <c:v>-649</c:v>
                </c:pt>
                <c:pt idx="3">
                  <c:v>0.5</c:v>
                </c:pt>
              </c:numCache>
            </c:numRef>
          </c:xVal>
          <c:yVal>
            <c:numRef>
              <c:f>'Active 3'!$L$21:$L$999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E4-43E5-8F87-18ACF42378E7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-23846.5</c:v>
                </c:pt>
                <c:pt idx="1">
                  <c:v>-671.5</c:v>
                </c:pt>
                <c:pt idx="2">
                  <c:v>-649</c:v>
                </c:pt>
                <c:pt idx="3">
                  <c:v>0.5</c:v>
                </c:pt>
              </c:numCache>
            </c:numRef>
          </c:xVal>
          <c:yVal>
            <c:numRef>
              <c:f>'Active 3'!$M$21:$M$999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BE4-43E5-8F87-18ACF42378E7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-23846.5</c:v>
                </c:pt>
                <c:pt idx="1">
                  <c:v>-671.5</c:v>
                </c:pt>
                <c:pt idx="2">
                  <c:v>-649</c:v>
                </c:pt>
                <c:pt idx="3">
                  <c:v>0.5</c:v>
                </c:pt>
              </c:numCache>
            </c:numRef>
          </c:xVal>
          <c:yVal>
            <c:numRef>
              <c:f>'Active 3'!$N$21:$N$999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BE4-43E5-8F87-18ACF42378E7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3'!$F$21:$F$999</c:f>
              <c:numCache>
                <c:formatCode>General</c:formatCode>
                <c:ptCount val="979"/>
                <c:pt idx="0">
                  <c:v>-23846.5</c:v>
                </c:pt>
                <c:pt idx="1">
                  <c:v>-671.5</c:v>
                </c:pt>
                <c:pt idx="2">
                  <c:v>-649</c:v>
                </c:pt>
                <c:pt idx="3">
                  <c:v>0.5</c:v>
                </c:pt>
              </c:numCache>
            </c:numRef>
          </c:xVal>
          <c:yVal>
            <c:numRef>
              <c:f>'Active 3'!$O$21:$O$999</c:f>
              <c:numCache>
                <c:formatCode>General</c:formatCode>
                <c:ptCount val="979"/>
                <c:pt idx="0">
                  <c:v>-1.9279719058951227E-2</c:v>
                </c:pt>
                <c:pt idx="1">
                  <c:v>-1.9406719367978556E-4</c:v>
                </c:pt>
                <c:pt idx="2">
                  <c:v>-1.7553743458728903E-4</c:v>
                </c:pt>
                <c:pt idx="3">
                  <c:v>3.5935494454944472E-4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BE4-43E5-8F87-18ACF4237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238280"/>
        <c:axId val="1"/>
      </c:scatterChart>
      <c:valAx>
        <c:axId val="435238280"/>
        <c:scaling>
          <c:orientation val="minMax"/>
          <c:max val="0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3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238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23755251314305"/>
          <c:y val="0.92397937099967764"/>
          <c:w val="0.659160104986876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9525</xdr:rowOff>
    </xdr:from>
    <xdr:to>
      <xdr:col>16</xdr:col>
      <xdr:colOff>523875</xdr:colOff>
      <xdr:row>18</xdr:row>
      <xdr:rowOff>104775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D7C0AEC5-35D4-9AEC-33C4-C1462FB15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66674</xdr:colOff>
      <xdr:row>0</xdr:row>
      <xdr:rowOff>0</xdr:rowOff>
    </xdr:from>
    <xdr:to>
      <xdr:col>27</xdr:col>
      <xdr:colOff>171449</xdr:colOff>
      <xdr:row>18</xdr:row>
      <xdr:rowOff>85725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EB36C31F-566C-DACF-FD90-BE086180F5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17</xdr:col>
      <xdr:colOff>590550</xdr:colOff>
      <xdr:row>18</xdr:row>
      <xdr:rowOff>57150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CB7EE2F6-5E89-2E10-3B5B-79EEB5219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142875</xdr:colOff>
      <xdr:row>0</xdr:row>
      <xdr:rowOff>47625</xdr:rowOff>
    </xdr:from>
    <xdr:to>
      <xdr:col>27</xdr:col>
      <xdr:colOff>314325</xdr:colOff>
      <xdr:row>18</xdr:row>
      <xdr:rowOff>76200</xdr:rowOff>
    </xdr:to>
    <xdr:graphicFrame macro="">
      <xdr:nvGraphicFramePr>
        <xdr:cNvPr id="52228" name="Chart 2">
          <a:extLst>
            <a:ext uri="{FF2B5EF4-FFF2-40B4-BE49-F238E27FC236}">
              <a16:creationId xmlns:a16="http://schemas.microsoft.com/office/drawing/2014/main" id="{B47090A4-682E-B527-F4B3-69452B592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9525</xdr:rowOff>
    </xdr:from>
    <xdr:to>
      <xdr:col>16</xdr:col>
      <xdr:colOff>133350</xdr:colOff>
      <xdr:row>16</xdr:row>
      <xdr:rowOff>152400</xdr:rowOff>
    </xdr:to>
    <xdr:graphicFrame macro="">
      <xdr:nvGraphicFramePr>
        <xdr:cNvPr id="54275" name="Chart 1">
          <a:extLst>
            <a:ext uri="{FF2B5EF4-FFF2-40B4-BE49-F238E27FC236}">
              <a16:creationId xmlns:a16="http://schemas.microsoft.com/office/drawing/2014/main" id="{53B7F8FE-6DE2-CDEB-B200-BBC299274D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26</xdr:col>
      <xdr:colOff>171450</xdr:colOff>
      <xdr:row>19</xdr:row>
      <xdr:rowOff>9525</xdr:rowOff>
    </xdr:to>
    <xdr:graphicFrame macro="">
      <xdr:nvGraphicFramePr>
        <xdr:cNvPr id="54276" name="Chart 2">
          <a:extLst>
            <a:ext uri="{FF2B5EF4-FFF2-40B4-BE49-F238E27FC236}">
              <a16:creationId xmlns:a16="http://schemas.microsoft.com/office/drawing/2014/main" id="{BB77BB54-7789-7FE6-5843-123EE6A70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2" sqref="E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ht="20.25" x14ac:dyDescent="0.3">
      <c r="A1" s="1" t="s">
        <v>39</v>
      </c>
      <c r="F1">
        <v>25299.32</v>
      </c>
      <c r="G1">
        <v>1.2396739999999999</v>
      </c>
      <c r="H1" t="s">
        <v>40</v>
      </c>
      <c r="I1" t="s">
        <v>41</v>
      </c>
    </row>
    <row r="2" spans="1:9" x14ac:dyDescent="0.2">
      <c r="A2" t="s">
        <v>24</v>
      </c>
      <c r="B2" t="s">
        <v>40</v>
      </c>
      <c r="C2" s="3"/>
      <c r="D2" s="3"/>
      <c r="E2" t="s">
        <v>41</v>
      </c>
    </row>
    <row r="3" spans="1:9" ht="13.5" thickBot="1" x14ac:dyDescent="0.25"/>
    <row r="4" spans="1:9" ht="14.25" thickTop="1" thickBot="1" x14ac:dyDescent="0.25">
      <c r="A4" s="5" t="s">
        <v>0</v>
      </c>
      <c r="C4" s="8">
        <v>25299.32</v>
      </c>
      <c r="D4" s="9">
        <v>1.2396739999999999</v>
      </c>
    </row>
    <row r="6" spans="1:9" x14ac:dyDescent="0.2">
      <c r="A6" s="5" t="s">
        <v>1</v>
      </c>
    </row>
    <row r="7" spans="1:9" x14ac:dyDescent="0.2">
      <c r="A7" t="s">
        <v>2</v>
      </c>
      <c r="C7">
        <f>+C4</f>
        <v>25299.32</v>
      </c>
    </row>
    <row r="8" spans="1:9" x14ac:dyDescent="0.2">
      <c r="A8" t="s">
        <v>3</v>
      </c>
      <c r="C8">
        <f>+D4</f>
        <v>1.2396739999999999</v>
      </c>
    </row>
    <row r="9" spans="1:9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9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9" x14ac:dyDescent="0.2">
      <c r="A11" s="12" t="s">
        <v>16</v>
      </c>
      <c r="B11" s="12"/>
      <c r="C11" s="24">
        <f ca="1">INTERCEPT(INDIRECT($G$11):G992,INDIRECT($F$11):F992)</f>
        <v>12.453421660494097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9" x14ac:dyDescent="0.2">
      <c r="A12" s="12" t="s">
        <v>17</v>
      </c>
      <c r="B12" s="12"/>
      <c r="C12" s="24">
        <f ca="1">SLOPE(INDIRECT($G$11):G992,INDIRECT($F$11):F992)</f>
        <v>1.7715628265205074E-5</v>
      </c>
      <c r="D12" s="3"/>
      <c r="E12" s="12"/>
    </row>
    <row r="13" spans="1:9" x14ac:dyDescent="0.2">
      <c r="A13" s="12" t="s">
        <v>19</v>
      </c>
      <c r="B13" s="12"/>
      <c r="C13" s="3" t="s">
        <v>14</v>
      </c>
      <c r="D13" s="3"/>
      <c r="E13" s="12"/>
    </row>
    <row r="14" spans="1:9" x14ac:dyDescent="0.2">
      <c r="A14" s="12"/>
      <c r="B14" s="12"/>
      <c r="C14" s="12"/>
      <c r="D14" s="12"/>
      <c r="E14" s="12"/>
    </row>
    <row r="15" spans="1:9" x14ac:dyDescent="0.2">
      <c r="A15" s="14" t="s">
        <v>18</v>
      </c>
      <c r="B15" s="12"/>
      <c r="C15" s="15">
        <f ca="1">(C7+C11)+(C8+C12)*INT(MAX(F21:F3533))</f>
        <v>54884.619297972764</v>
      </c>
      <c r="D15" s="16" t="s">
        <v>33</v>
      </c>
      <c r="E15" s="17">
        <f ca="1">TODAY()+15018.5-B9/24</f>
        <v>60315.5</v>
      </c>
    </row>
    <row r="16" spans="1:9" x14ac:dyDescent="0.2">
      <c r="A16" s="18" t="s">
        <v>4</v>
      </c>
      <c r="B16" s="12"/>
      <c r="C16" s="19">
        <f ca="1">+C8+C12</f>
        <v>1.2396917156282652</v>
      </c>
      <c r="D16" s="16" t="s">
        <v>34</v>
      </c>
      <c r="E16" s="17">
        <f ca="1">ROUND(2*(E15-C15)/C16,0)/2+1</f>
        <v>4382</v>
      </c>
    </row>
    <row r="17" spans="1:17" ht="13.5" thickBot="1" x14ac:dyDescent="0.25">
      <c r="A17" s="16" t="s">
        <v>30</v>
      </c>
      <c r="B17" s="12"/>
      <c r="C17" s="12">
        <f>COUNT(C21:C2191)</f>
        <v>4</v>
      </c>
      <c r="D17" s="16" t="s">
        <v>35</v>
      </c>
      <c r="E17" s="20">
        <f ca="1">+C15+C16*E16-15018.5-C9/24</f>
        <v>45298.844229189155</v>
      </c>
    </row>
    <row r="18" spans="1:17" ht="14.25" thickTop="1" thickBot="1" x14ac:dyDescent="0.25">
      <c r="A18" s="18" t="s">
        <v>5</v>
      </c>
      <c r="B18" s="12"/>
      <c r="C18" s="21">
        <f ca="1">+C15</f>
        <v>54884.619297972764</v>
      </c>
      <c r="D18" s="22">
        <f ca="1">+C16</f>
        <v>1.2396917156282652</v>
      </c>
      <c r="E18" s="23" t="s">
        <v>36</v>
      </c>
    </row>
    <row r="19" spans="1:17" ht="13.5" thickTop="1" x14ac:dyDescent="0.2">
      <c r="A19" s="27" t="s">
        <v>37</v>
      </c>
      <c r="E19" s="28">
        <v>22</v>
      </c>
      <c r="F19">
        <v>10.5</v>
      </c>
      <c r="G19" s="30" t="s">
        <v>45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29</v>
      </c>
      <c r="J20" s="7" t="s">
        <v>49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v>25299.32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12.453421660494097</v>
      </c>
      <c r="Q21" s="2">
        <f>+C21-15018.5</f>
        <v>10280.82</v>
      </c>
    </row>
    <row r="22" spans="1:17" x14ac:dyDescent="0.2">
      <c r="A22" s="32" t="s">
        <v>42</v>
      </c>
      <c r="B22" s="31" t="s">
        <v>43</v>
      </c>
      <c r="C22" s="32">
        <v>54050.920899999794</v>
      </c>
      <c r="D22" s="32">
        <v>2.0000000000000001E-4</v>
      </c>
      <c r="E22">
        <f>+(C22-C$7)/C$8</f>
        <v>23192.872400324435</v>
      </c>
      <c r="F22" s="29">
        <f>ROUND(2*E22,0)/2-F$19</f>
        <v>23182.5</v>
      </c>
      <c r="G22">
        <f>+C22-(C$7+F22*C$8)</f>
        <v>12.858394999799202</v>
      </c>
      <c r="I22">
        <f>+G22</f>
        <v>12.858394999799202</v>
      </c>
      <c r="O22">
        <f ca="1">+C$11+C$12*$F22</f>
        <v>12.864114212752213</v>
      </c>
      <c r="Q22" s="2">
        <f>+C22-15018.5</f>
        <v>39032.420899999794</v>
      </c>
    </row>
    <row r="23" spans="1:17" x14ac:dyDescent="0.2">
      <c r="A23" s="32" t="s">
        <v>42</v>
      </c>
      <c r="B23" s="31" t="s">
        <v>44</v>
      </c>
      <c r="C23" s="32">
        <v>54078.825600000098</v>
      </c>
      <c r="D23" s="32">
        <v>2.9999999999999997E-4</v>
      </c>
      <c r="E23">
        <f>+(C23-C$7)/C$8</f>
        <v>23215.382108522161</v>
      </c>
      <c r="F23" s="29">
        <f>ROUND(2*E23,0)/2-F$19</f>
        <v>23205</v>
      </c>
      <c r="G23">
        <f>+C23-(C$7+F23*C$8)</f>
        <v>12.870430000097258</v>
      </c>
      <c r="I23">
        <f>+G23</f>
        <v>12.870430000097258</v>
      </c>
      <c r="O23">
        <f ca="1">+C$11+C$12*$F23</f>
        <v>12.864512814388181</v>
      </c>
      <c r="Q23" s="2">
        <f>+C23-15018.5</f>
        <v>39060.325600000098</v>
      </c>
    </row>
    <row r="24" spans="1:17" x14ac:dyDescent="0.2">
      <c r="A24" s="33" t="s">
        <v>46</v>
      </c>
      <c r="B24" s="34" t="s">
        <v>43</v>
      </c>
      <c r="C24" s="33">
        <v>54884.619100000004</v>
      </c>
      <c r="D24" s="33">
        <v>4.0000000000000002E-4</v>
      </c>
      <c r="E24">
        <f>+(C24-C$7)/C$8</f>
        <v>23865.386464505995</v>
      </c>
      <c r="F24" s="29">
        <f>ROUND(2*E24,0)/2-F$19</f>
        <v>23855</v>
      </c>
      <c r="G24">
        <f>+C24-(C$7+F24*C$8)</f>
        <v>12.875830000004498</v>
      </c>
      <c r="I24">
        <f>+G24</f>
        <v>12.875830000004498</v>
      </c>
      <c r="O24">
        <f ca="1">+C$11+C$12*$F24</f>
        <v>12.876027972760564</v>
      </c>
      <c r="Q24" s="2">
        <f>+C24-15018.5</f>
        <v>39866.119100000004</v>
      </c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Q6940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ht="20.25" x14ac:dyDescent="0.3">
      <c r="A1" s="1" t="s">
        <v>39</v>
      </c>
      <c r="F1">
        <v>25299.32</v>
      </c>
      <c r="G1">
        <v>1.2396739999999999</v>
      </c>
      <c r="H1" t="s">
        <v>40</v>
      </c>
      <c r="I1" t="s">
        <v>41</v>
      </c>
    </row>
    <row r="2" spans="1:9" x14ac:dyDescent="0.2">
      <c r="A2" t="s">
        <v>24</v>
      </c>
      <c r="B2" t="s">
        <v>40</v>
      </c>
      <c r="C2" s="3"/>
      <c r="D2" s="3"/>
      <c r="E2" t="s">
        <v>41</v>
      </c>
    </row>
    <row r="3" spans="1:9" ht="13.5" thickBot="1" x14ac:dyDescent="0.25"/>
    <row r="4" spans="1:9" ht="14.25" thickTop="1" thickBot="1" x14ac:dyDescent="0.25">
      <c r="A4" s="5" t="s">
        <v>0</v>
      </c>
      <c r="C4" s="8">
        <v>25299.32</v>
      </c>
      <c r="D4" s="9">
        <v>1.2396739999999999</v>
      </c>
    </row>
    <row r="6" spans="1:9" x14ac:dyDescent="0.2">
      <c r="A6" s="5" t="s">
        <v>1</v>
      </c>
    </row>
    <row r="7" spans="1:9" x14ac:dyDescent="0.2">
      <c r="A7" t="s">
        <v>2</v>
      </c>
      <c r="C7">
        <v>54884.961377786647</v>
      </c>
    </row>
    <row r="8" spans="1:9" x14ac:dyDescent="0.2">
      <c r="A8" t="s">
        <v>3</v>
      </c>
      <c r="C8">
        <v>1.2402088889023801</v>
      </c>
    </row>
    <row r="9" spans="1:9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9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9" x14ac:dyDescent="0.2">
      <c r="A11" s="12" t="s">
        <v>16</v>
      </c>
      <c r="B11" s="12"/>
      <c r="C11" s="24">
        <f ca="1">INTERCEPT(INDIRECT($G$11):G992,INDIRECT($F$11):F992)</f>
        <v>0.27787577353177029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9" x14ac:dyDescent="0.2">
      <c r="A12" s="12" t="s">
        <v>17</v>
      </c>
      <c r="B12" s="12"/>
      <c r="C12" s="24">
        <f ca="1">SLOPE(INDIRECT($G$11):G992,INDIRECT($F$11):F992)</f>
        <v>4.2010632107749663E-4</v>
      </c>
      <c r="D12" s="3"/>
      <c r="E12" s="12"/>
    </row>
    <row r="13" spans="1:9" x14ac:dyDescent="0.2">
      <c r="A13" s="12" t="s">
        <v>19</v>
      </c>
      <c r="B13" s="12"/>
      <c r="C13" s="3" t="s">
        <v>14</v>
      </c>
      <c r="D13" s="16" t="s">
        <v>47</v>
      </c>
      <c r="E13" s="13">
        <v>1</v>
      </c>
    </row>
    <row r="14" spans="1:9" x14ac:dyDescent="0.2">
      <c r="A14" s="12"/>
      <c r="B14" s="12"/>
      <c r="C14" s="12"/>
      <c r="D14" s="16" t="s">
        <v>33</v>
      </c>
      <c r="E14" s="17">
        <f ca="1">NOW()+15018.5+$C$9/24</f>
        <v>60315.820835532402</v>
      </c>
    </row>
    <row r="15" spans="1:9" x14ac:dyDescent="0.2">
      <c r="A15" s="14" t="s">
        <v>18</v>
      </c>
      <c r="B15" s="12"/>
      <c r="C15" s="15">
        <f ca="1">(C7+C11)+(C8+C12)*INT(MAX(F21:F3533))</f>
        <v>54883.998624564949</v>
      </c>
      <c r="D15" s="16" t="s">
        <v>48</v>
      </c>
      <c r="E15" s="17">
        <f ca="1">ROUND(2*(E14-$C$7)/$C$8,0)/2+E13</f>
        <v>4380</v>
      </c>
    </row>
    <row r="16" spans="1:9" x14ac:dyDescent="0.2">
      <c r="A16" s="18" t="s">
        <v>4</v>
      </c>
      <c r="B16" s="12"/>
      <c r="C16" s="19">
        <f ca="1">+C8+C12</f>
        <v>1.2406289952234577</v>
      </c>
      <c r="D16" s="16" t="s">
        <v>34</v>
      </c>
      <c r="E16" s="26">
        <f ca="1">ROUND(2*(E14-$C$15)/$C$16,0)/2+E13</f>
        <v>4379.5</v>
      </c>
    </row>
    <row r="17" spans="1:17" ht="13.5" thickBot="1" x14ac:dyDescent="0.25">
      <c r="A17" s="16" t="s">
        <v>30</v>
      </c>
      <c r="B17" s="12"/>
      <c r="C17" s="12">
        <f>COUNT(C21:C2191)</f>
        <v>4</v>
      </c>
      <c r="D17" s="16" t="s">
        <v>35</v>
      </c>
      <c r="E17" s="20">
        <f ca="1">+$C$15+$C$16*E16-15018.5-$C$9/24</f>
        <v>45299.229142479417</v>
      </c>
    </row>
    <row r="18" spans="1:17" ht="14.25" thickTop="1" thickBot="1" x14ac:dyDescent="0.25">
      <c r="A18" s="18" t="s">
        <v>5</v>
      </c>
      <c r="B18" s="12"/>
      <c r="C18" s="21">
        <f ca="1">+C15</f>
        <v>54883.998624564949</v>
      </c>
      <c r="D18" s="22">
        <f ca="1">+C16</f>
        <v>1.2406289952234577</v>
      </c>
      <c r="E18" s="23" t="s">
        <v>36</v>
      </c>
    </row>
    <row r="19" spans="1:17" ht="13.5" thickTop="1" x14ac:dyDescent="0.2">
      <c r="A19" s="27" t="s">
        <v>37</v>
      </c>
      <c r="E19" s="28">
        <v>22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29</v>
      </c>
      <c r="J20" s="7" t="s">
        <v>49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v>25299.32</v>
      </c>
      <c r="D21" s="10" t="s">
        <v>14</v>
      </c>
      <c r="E21">
        <f>+(C21-C$7)/C$8</f>
        <v>-23855.369561147698</v>
      </c>
      <c r="F21" s="35">
        <f>ROUND(2*E21,0)/2+F19</f>
        <v>-23855.5</v>
      </c>
      <c r="G21">
        <f>+C21-(C$7+F21*C$8)</f>
        <v>0.16177142408196232</v>
      </c>
      <c r="H21">
        <f>+G21</f>
        <v>0.16177142408196232</v>
      </c>
      <c r="O21">
        <f ca="1">+C$11+C$12*$F21</f>
        <v>-9.7439705689324505</v>
      </c>
      <c r="Q21" s="2">
        <f>+C21-15018.5</f>
        <v>10280.82</v>
      </c>
    </row>
    <row r="22" spans="1:17" x14ac:dyDescent="0.2">
      <c r="A22" s="32" t="s">
        <v>42</v>
      </c>
      <c r="B22" s="31" t="s">
        <v>43</v>
      </c>
      <c r="C22" s="32">
        <v>54050.920899999794</v>
      </c>
      <c r="D22" s="32">
        <v>2.0000000000000001E-4</v>
      </c>
      <c r="E22">
        <f>+(C22-C$7)/C$8</f>
        <v>-672.50000000000227</v>
      </c>
      <c r="F22">
        <f>ROUND(2*E22,0)/2</f>
        <v>-672.5</v>
      </c>
      <c r="G22">
        <f>+C22-(C$7+F22*C$8)</f>
        <v>0</v>
      </c>
      <c r="I22">
        <f>+G22</f>
        <v>0</v>
      </c>
      <c r="O22">
        <f ca="1">+C$11+C$12*$F22</f>
        <v>-4.6457273928461884E-3</v>
      </c>
      <c r="Q22" s="2">
        <f>+C22-15018.5</f>
        <v>39032.420899999794</v>
      </c>
    </row>
    <row r="23" spans="1:17" x14ac:dyDescent="0.2">
      <c r="A23" s="32" t="s">
        <v>42</v>
      </c>
      <c r="B23" s="31" t="s">
        <v>44</v>
      </c>
      <c r="C23" s="32">
        <v>54078.825600000098</v>
      </c>
      <c r="D23" s="32">
        <v>2.9999999999999997E-4</v>
      </c>
      <c r="E23">
        <f>+(C23-C$7)/C$8</f>
        <v>-650.00000000000136</v>
      </c>
      <c r="F23">
        <f>ROUND(2*E23,0)/2</f>
        <v>-650</v>
      </c>
      <c r="G23">
        <f>+C23-(C$7+F23*C$8)</f>
        <v>0</v>
      </c>
      <c r="I23">
        <f>+G23</f>
        <v>0</v>
      </c>
      <c r="O23">
        <f ca="1">+C$11+C$12*$F23</f>
        <v>4.8066648313974669E-3</v>
      </c>
      <c r="Q23" s="2">
        <f>+C23-15018.5</f>
        <v>39060.325600000098</v>
      </c>
    </row>
    <row r="24" spans="1:17" x14ac:dyDescent="0.2">
      <c r="A24" s="33" t="s">
        <v>46</v>
      </c>
      <c r="B24" s="34" t="s">
        <v>43</v>
      </c>
      <c r="C24" s="33">
        <v>54884.619100000004</v>
      </c>
      <c r="D24" s="33">
        <v>4.0000000000000002E-4</v>
      </c>
      <c r="E24">
        <f>+(C24-C$7)/C$8</f>
        <v>-0.27598398117147899</v>
      </c>
      <c r="F24">
        <f>ROUND(2*E24,0)/2</f>
        <v>-0.5</v>
      </c>
      <c r="G24">
        <f>+C24-(C$7+F24*C$8)</f>
        <v>0.27782665780978277</v>
      </c>
      <c r="I24">
        <f>+G24</f>
        <v>0.27782665780978277</v>
      </c>
      <c r="O24">
        <f ca="1">+C$11+C$12*$F24</f>
        <v>0.27766572037123155</v>
      </c>
      <c r="Q24" s="2">
        <f>+C24-15018.5</f>
        <v>39866.119100000004</v>
      </c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ht="20.25" x14ac:dyDescent="0.3">
      <c r="A1" s="1" t="s">
        <v>39</v>
      </c>
      <c r="F1">
        <v>25299.32</v>
      </c>
      <c r="G1">
        <v>1.2396739999999999</v>
      </c>
      <c r="H1" t="s">
        <v>40</v>
      </c>
      <c r="I1" t="s">
        <v>41</v>
      </c>
    </row>
    <row r="2" spans="1:9" x14ac:dyDescent="0.2">
      <c r="A2" t="s">
        <v>24</v>
      </c>
      <c r="B2" t="s">
        <v>40</v>
      </c>
      <c r="C2" s="3"/>
      <c r="D2" s="3"/>
      <c r="E2" t="s">
        <v>41</v>
      </c>
    </row>
    <row r="3" spans="1:9" ht="13.5" thickBot="1" x14ac:dyDescent="0.25"/>
    <row r="4" spans="1:9" ht="14.25" thickTop="1" thickBot="1" x14ac:dyDescent="0.25">
      <c r="A4" s="5" t="s">
        <v>0</v>
      </c>
      <c r="C4" s="8">
        <v>25299.32</v>
      </c>
      <c r="D4" s="9">
        <v>1.2396739999999999</v>
      </c>
    </row>
    <row r="6" spans="1:9" x14ac:dyDescent="0.2">
      <c r="A6" s="5" t="s">
        <v>1</v>
      </c>
    </row>
    <row r="7" spans="1:9" x14ac:dyDescent="0.2">
      <c r="A7" t="s">
        <v>2</v>
      </c>
      <c r="C7">
        <v>54883.998624564949</v>
      </c>
    </row>
    <row r="8" spans="1:9" x14ac:dyDescent="0.2">
      <c r="A8" t="s">
        <v>3</v>
      </c>
      <c r="C8">
        <v>1.2406289952234577</v>
      </c>
    </row>
    <row r="9" spans="1:9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9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9" x14ac:dyDescent="0.2">
      <c r="A11" s="12" t="s">
        <v>16</v>
      </c>
      <c r="B11" s="12"/>
      <c r="C11" s="24">
        <f ca="1">INTERCEPT(INDIRECT($G$11):G992,INDIRECT($F$11):F992)</f>
        <v>3.5894317212516701E-4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9" x14ac:dyDescent="0.2">
      <c r="A12" s="12" t="s">
        <v>17</v>
      </c>
      <c r="B12" s="12"/>
      <c r="C12" s="24">
        <f ca="1">SLOPE(INDIRECT($G$11):G992,INDIRECT($F$11):F992)</f>
        <v>8.2354484855540214E-7</v>
      </c>
      <c r="D12" s="3"/>
      <c r="E12" s="12"/>
    </row>
    <row r="13" spans="1:9" x14ac:dyDescent="0.2">
      <c r="A13" s="12" t="s">
        <v>19</v>
      </c>
      <c r="B13" s="12"/>
      <c r="C13" s="3" t="s">
        <v>14</v>
      </c>
      <c r="D13" s="3"/>
      <c r="E13" s="12"/>
    </row>
    <row r="14" spans="1:9" x14ac:dyDescent="0.2">
      <c r="A14" s="12"/>
      <c r="B14" s="12"/>
      <c r="C14" s="12"/>
      <c r="D14" s="12"/>
      <c r="E14" s="12"/>
    </row>
    <row r="15" spans="1:9" x14ac:dyDescent="0.2">
      <c r="A15" s="14" t="s">
        <v>18</v>
      </c>
      <c r="B15" s="12"/>
      <c r="C15" s="15">
        <f ca="1">(C7+C11)+(C8+C12)*INT(MAX(F21:F3533))</f>
        <v>54883.998983508121</v>
      </c>
      <c r="D15" s="16" t="s">
        <v>33</v>
      </c>
      <c r="E15" s="17">
        <f ca="1">TODAY()+15018.5-B9/24</f>
        <v>60315.5</v>
      </c>
    </row>
    <row r="16" spans="1:9" x14ac:dyDescent="0.2">
      <c r="A16" s="18" t="s">
        <v>4</v>
      </c>
      <c r="B16" s="12"/>
      <c r="C16" s="19">
        <f ca="1">+C8+C12</f>
        <v>1.2406298187683062</v>
      </c>
      <c r="D16" s="16" t="s">
        <v>34</v>
      </c>
      <c r="E16" s="17">
        <f ca="1">ROUND(2*(E15-C15)/C16,0)/2+1</f>
        <v>4379</v>
      </c>
    </row>
    <row r="17" spans="1:17" ht="13.5" thickBot="1" x14ac:dyDescent="0.25">
      <c r="A17" s="16" t="s">
        <v>30</v>
      </c>
      <c r="B17" s="12"/>
      <c r="C17" s="12">
        <f>COUNT(C21:C2191)</f>
        <v>4</v>
      </c>
      <c r="D17" s="16" t="s">
        <v>35</v>
      </c>
      <c r="E17" s="20">
        <f ca="1">+C15+C16*E16-15018.5-C9/24</f>
        <v>45298.612793227869</v>
      </c>
    </row>
    <row r="18" spans="1:17" ht="14.25" thickTop="1" thickBot="1" x14ac:dyDescent="0.25">
      <c r="A18" s="18" t="s">
        <v>5</v>
      </c>
      <c r="B18" s="12"/>
      <c r="C18" s="21">
        <f ca="1">+C15</f>
        <v>54883.998983508121</v>
      </c>
      <c r="D18" s="22">
        <f ca="1">+C16</f>
        <v>1.2406298187683062</v>
      </c>
      <c r="E18" s="23" t="s">
        <v>36</v>
      </c>
    </row>
    <row r="19" spans="1:17" ht="13.5" thickTop="1" x14ac:dyDescent="0.2">
      <c r="A19" s="27" t="s">
        <v>37</v>
      </c>
      <c r="E19" s="28">
        <v>21</v>
      </c>
      <c r="F19">
        <v>8</v>
      </c>
      <c r="G19" s="30"/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29</v>
      </c>
      <c r="J20" s="7" t="s">
        <v>49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v>25299.32</v>
      </c>
      <c r="D21" s="10" t="s">
        <v>14</v>
      </c>
      <c r="E21">
        <f>+(C21-C$7)/C$8</f>
        <v>-23846.515548539362</v>
      </c>
      <c r="F21">
        <f>ROUND(2*E21,0)/2</f>
        <v>-23846.5</v>
      </c>
      <c r="G21">
        <f>+C21-(C$7+F21*C$8)</f>
        <v>-1.9289968764496734E-2</v>
      </c>
      <c r="H21">
        <f>+G21</f>
        <v>-1.9289968764496734E-2</v>
      </c>
      <c r="O21">
        <f ca="1">+C$11+C$12*$F21</f>
        <v>-1.9279719058951227E-2</v>
      </c>
      <c r="Q21" s="2">
        <f>+C21-15018.5</f>
        <v>10280.82</v>
      </c>
    </row>
    <row r="22" spans="1:17" x14ac:dyDescent="0.2">
      <c r="A22" s="32" t="s">
        <v>42</v>
      </c>
      <c r="B22" s="31" t="s">
        <v>43</v>
      </c>
      <c r="C22" s="32">
        <v>54050.920899999794</v>
      </c>
      <c r="D22" s="32">
        <v>2.0000000000000001E-4</v>
      </c>
      <c r="E22">
        <f>+(C22-C$7)/C$8</f>
        <v>-671.49625534513984</v>
      </c>
      <c r="F22">
        <f>ROUND(2*E22,0)/2</f>
        <v>-671.5</v>
      </c>
      <c r="G22">
        <f>+C22-(C$7+F22*C$8)</f>
        <v>4.6457274002023041E-3</v>
      </c>
      <c r="I22">
        <f>+G22</f>
        <v>4.6457274002023041E-3</v>
      </c>
      <c r="O22">
        <f ca="1">+C$11+C$12*$F22</f>
        <v>-1.9406719367978556E-4</v>
      </c>
      <c r="Q22" s="2">
        <f>+C22-15018.5</f>
        <v>39032.420899999794</v>
      </c>
    </row>
    <row r="23" spans="1:17" x14ac:dyDescent="0.2">
      <c r="A23" s="32" t="s">
        <v>42</v>
      </c>
      <c r="B23" s="31" t="s">
        <v>44</v>
      </c>
      <c r="C23" s="32">
        <v>54078.825600000098</v>
      </c>
      <c r="D23" s="32">
        <v>2.9999999999999997E-4</v>
      </c>
      <c r="E23">
        <f>+(C23-C$7)/C$8</f>
        <v>-649.00387437730774</v>
      </c>
      <c r="F23">
        <f>ROUND(2*E23,0)/2</f>
        <v>-649</v>
      </c>
      <c r="G23">
        <f>+C23-(C$7+F23*C$8)</f>
        <v>-4.8066648232634179E-3</v>
      </c>
      <c r="I23">
        <f>+G23</f>
        <v>-4.8066648232634179E-3</v>
      </c>
      <c r="O23">
        <f ca="1">+C$11+C$12*$F23</f>
        <v>-1.7553743458728903E-4</v>
      </c>
      <c r="Q23" s="2">
        <f>+C23-15018.5</f>
        <v>39060.325600000098</v>
      </c>
    </row>
    <row r="24" spans="1:17" x14ac:dyDescent="0.2">
      <c r="A24" s="33" t="s">
        <v>46</v>
      </c>
      <c r="B24" s="34" t="s">
        <v>43</v>
      </c>
      <c r="C24" s="33">
        <v>54884.619100000004</v>
      </c>
      <c r="D24" s="33">
        <v>4.0000000000000002E-4</v>
      </c>
      <c r="E24">
        <f>+(C24-C$7)/C$8</f>
        <v>0.50012972245818621</v>
      </c>
      <c r="F24">
        <f>ROUND(2*E24,0)/2</f>
        <v>0.5</v>
      </c>
      <c r="G24">
        <f>+C24-(C$7+F24*C$8)</f>
        <v>1.6093744488898665E-4</v>
      </c>
      <c r="I24">
        <f>+G24</f>
        <v>1.6093744488898665E-4</v>
      </c>
      <c r="O24">
        <f ca="1">+C$11+C$12*$F24</f>
        <v>3.5935494454944472E-4</v>
      </c>
      <c r="Q24" s="2">
        <f>+C24-15018.5</f>
        <v>39866.119100000004</v>
      </c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Active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2024-01-06T06:42:00Z</dcterms:modified>
</cp:coreProperties>
</file>