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D270168-E385-42A0-80CD-1D79881D87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  <sheet name="BAV" sheetId="3" r:id="rId3"/>
  </sheets>
  <calcPr calcId="181029"/>
</workbook>
</file>

<file path=xl/calcChain.xml><?xml version="1.0" encoding="utf-8"?>
<calcChain xmlns="http://schemas.openxmlformats.org/spreadsheetml/2006/main">
  <c r="E89" i="2" l="1"/>
  <c r="F89" i="2" s="1"/>
  <c r="G89" i="2" s="1"/>
  <c r="K89" i="2" s="1"/>
  <c r="Q89" i="2"/>
  <c r="E89" i="1"/>
  <c r="F89" i="1" s="1"/>
  <c r="G89" i="1" s="1"/>
  <c r="K89" i="1" s="1"/>
  <c r="Q89" i="1"/>
  <c r="E91" i="1"/>
  <c r="F91" i="1"/>
  <c r="G91" i="1" s="1"/>
  <c r="K91" i="1" s="1"/>
  <c r="Q91" i="1"/>
  <c r="E92" i="1"/>
  <c r="F92" i="1"/>
  <c r="G92" i="1" s="1"/>
  <c r="K92" i="1" s="1"/>
  <c r="Q92" i="1"/>
  <c r="E93" i="1"/>
  <c r="F93" i="1" s="1"/>
  <c r="G93" i="1" s="1"/>
  <c r="K93" i="1" s="1"/>
  <c r="Q93" i="1"/>
  <c r="E94" i="1"/>
  <c r="F94" i="1" s="1"/>
  <c r="G94" i="1" s="1"/>
  <c r="K94" i="1" s="1"/>
  <c r="Q94" i="1"/>
  <c r="E95" i="1"/>
  <c r="F95" i="1"/>
  <c r="G95" i="1" s="1"/>
  <c r="K95" i="1" s="1"/>
  <c r="Q95" i="1"/>
  <c r="E91" i="2"/>
  <c r="F91" i="2" s="1"/>
  <c r="G91" i="2" s="1"/>
  <c r="K91" i="2" s="1"/>
  <c r="Q91" i="2"/>
  <c r="E92" i="2"/>
  <c r="F92" i="2" s="1"/>
  <c r="G92" i="2" s="1"/>
  <c r="K92" i="2" s="1"/>
  <c r="Q92" i="2"/>
  <c r="E93" i="2"/>
  <c r="F93" i="2" s="1"/>
  <c r="G93" i="2" s="1"/>
  <c r="K93" i="2" s="1"/>
  <c r="Q93" i="2"/>
  <c r="E94" i="2"/>
  <c r="F94" i="2" s="1"/>
  <c r="G94" i="2" s="1"/>
  <c r="K94" i="2" s="1"/>
  <c r="Q94" i="2"/>
  <c r="E95" i="2"/>
  <c r="F95" i="2" s="1"/>
  <c r="G95" i="2" s="1"/>
  <c r="K95" i="2" s="1"/>
  <c r="Q95" i="2"/>
  <c r="E86" i="2"/>
  <c r="F86" i="2"/>
  <c r="G86" i="2" s="1"/>
  <c r="K86" i="2" s="1"/>
  <c r="Q86" i="2"/>
  <c r="E87" i="2"/>
  <c r="F87" i="2"/>
  <c r="G87" i="2" s="1"/>
  <c r="K87" i="2" s="1"/>
  <c r="Q87" i="2"/>
  <c r="E88" i="2"/>
  <c r="F88" i="2"/>
  <c r="G88" i="2" s="1"/>
  <c r="K88" i="2" s="1"/>
  <c r="Q88" i="2"/>
  <c r="E90" i="2"/>
  <c r="F90" i="2" s="1"/>
  <c r="G90" i="2" s="1"/>
  <c r="K90" i="2" s="1"/>
  <c r="Q90" i="2"/>
  <c r="D9" i="1"/>
  <c r="C9" i="1"/>
  <c r="Q90" i="1"/>
  <c r="C7" i="1"/>
  <c r="E31" i="1"/>
  <c r="F31" i="1" s="1"/>
  <c r="G31" i="1" s="1"/>
  <c r="I31" i="1" s="1"/>
  <c r="E36" i="1"/>
  <c r="F36" i="1"/>
  <c r="E44" i="1"/>
  <c r="F44" i="1"/>
  <c r="E59" i="1"/>
  <c r="E52" i="3" s="1"/>
  <c r="E67" i="1"/>
  <c r="F67" i="1" s="1"/>
  <c r="G67" i="1" s="1"/>
  <c r="K67" i="1" s="1"/>
  <c r="E75" i="1"/>
  <c r="F75" i="1"/>
  <c r="E23" i="1"/>
  <c r="F23" i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C7" i="2"/>
  <c r="C8" i="2"/>
  <c r="C9" i="2"/>
  <c r="D9" i="2"/>
  <c r="E49" i="2"/>
  <c r="F49" i="2"/>
  <c r="G49" i="2" s="1"/>
  <c r="K49" i="2" s="1"/>
  <c r="E81" i="2"/>
  <c r="F81" i="2" s="1"/>
  <c r="G81" i="2" s="1"/>
  <c r="K81" i="2" s="1"/>
  <c r="E24" i="2"/>
  <c r="F24" i="2"/>
  <c r="F16" i="2"/>
  <c r="F17" i="2" s="1"/>
  <c r="C17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A11" i="3"/>
  <c r="H11" i="3"/>
  <c r="B11" i="3"/>
  <c r="G11" i="3"/>
  <c r="C11" i="3"/>
  <c r="D11" i="3"/>
  <c r="A12" i="3"/>
  <c r="H12" i="3"/>
  <c r="B12" i="3"/>
  <c r="G12" i="3"/>
  <c r="C12" i="3"/>
  <c r="D12" i="3"/>
  <c r="A13" i="3"/>
  <c r="H13" i="3"/>
  <c r="B13" i="3"/>
  <c r="G13" i="3"/>
  <c r="C13" i="3"/>
  <c r="D13" i="3"/>
  <c r="A14" i="3"/>
  <c r="H14" i="3"/>
  <c r="B14" i="3"/>
  <c r="G14" i="3"/>
  <c r="C14" i="3"/>
  <c r="D14" i="3"/>
  <c r="A15" i="3"/>
  <c r="H15" i="3"/>
  <c r="B15" i="3"/>
  <c r="G15" i="3"/>
  <c r="C15" i="3"/>
  <c r="E15" i="3"/>
  <c r="D15" i="3"/>
  <c r="A16" i="3"/>
  <c r="H16" i="3"/>
  <c r="B16" i="3"/>
  <c r="G16" i="3"/>
  <c r="C16" i="3"/>
  <c r="D16" i="3"/>
  <c r="A17" i="3"/>
  <c r="H17" i="3"/>
  <c r="B17" i="3"/>
  <c r="G17" i="3"/>
  <c r="C17" i="3"/>
  <c r="D17" i="3"/>
  <c r="A18" i="3"/>
  <c r="H18" i="3"/>
  <c r="B18" i="3"/>
  <c r="G18" i="3"/>
  <c r="C18" i="3"/>
  <c r="D18" i="3"/>
  <c r="A19" i="3"/>
  <c r="H19" i="3"/>
  <c r="B19" i="3"/>
  <c r="G19" i="3"/>
  <c r="C19" i="3"/>
  <c r="D19" i="3"/>
  <c r="A20" i="3"/>
  <c r="H20" i="3"/>
  <c r="B20" i="3"/>
  <c r="G20" i="3"/>
  <c r="C20" i="3"/>
  <c r="D20" i="3"/>
  <c r="A21" i="3"/>
  <c r="H21" i="3"/>
  <c r="B21" i="3"/>
  <c r="G21" i="3"/>
  <c r="C21" i="3"/>
  <c r="D21" i="3"/>
  <c r="A22" i="3"/>
  <c r="H22" i="3"/>
  <c r="B22" i="3"/>
  <c r="G22" i="3"/>
  <c r="C22" i="3"/>
  <c r="D22" i="3"/>
  <c r="A23" i="3"/>
  <c r="H23" i="3"/>
  <c r="B23" i="3"/>
  <c r="G23" i="3"/>
  <c r="C23" i="3"/>
  <c r="E23" i="3"/>
  <c r="D23" i="3"/>
  <c r="A24" i="3"/>
  <c r="H24" i="3"/>
  <c r="B24" i="3"/>
  <c r="G24" i="3"/>
  <c r="C24" i="3"/>
  <c r="D24" i="3"/>
  <c r="A25" i="3"/>
  <c r="H25" i="3"/>
  <c r="B25" i="3"/>
  <c r="G25" i="3"/>
  <c r="C25" i="3"/>
  <c r="D25" i="3"/>
  <c r="A26" i="3"/>
  <c r="H26" i="3"/>
  <c r="B26" i="3"/>
  <c r="G26" i="3"/>
  <c r="C26" i="3"/>
  <c r="D26" i="3"/>
  <c r="A27" i="3"/>
  <c r="H27" i="3"/>
  <c r="B27" i="3"/>
  <c r="G27" i="3"/>
  <c r="C27" i="3"/>
  <c r="D27" i="3"/>
  <c r="A28" i="3"/>
  <c r="H28" i="3"/>
  <c r="B28" i="3"/>
  <c r="G28" i="3"/>
  <c r="C28" i="3"/>
  <c r="D28" i="3"/>
  <c r="A29" i="3"/>
  <c r="H29" i="3"/>
  <c r="B29" i="3"/>
  <c r="G29" i="3"/>
  <c r="C29" i="3"/>
  <c r="D29" i="3"/>
  <c r="A30" i="3"/>
  <c r="H30" i="3"/>
  <c r="B30" i="3"/>
  <c r="G30" i="3"/>
  <c r="C30" i="3"/>
  <c r="D30" i="3"/>
  <c r="A31" i="3"/>
  <c r="H31" i="3"/>
  <c r="B31" i="3"/>
  <c r="G31" i="3"/>
  <c r="C31" i="3"/>
  <c r="D31" i="3"/>
  <c r="A32" i="3"/>
  <c r="H32" i="3"/>
  <c r="B32" i="3"/>
  <c r="G32" i="3"/>
  <c r="C32" i="3"/>
  <c r="D32" i="3"/>
  <c r="A33" i="3"/>
  <c r="H33" i="3"/>
  <c r="B33" i="3"/>
  <c r="G33" i="3"/>
  <c r="C33" i="3"/>
  <c r="D33" i="3"/>
  <c r="A34" i="3"/>
  <c r="H34" i="3"/>
  <c r="B34" i="3"/>
  <c r="G34" i="3"/>
  <c r="C34" i="3"/>
  <c r="D34" i="3"/>
  <c r="A35" i="3"/>
  <c r="H35" i="3"/>
  <c r="B35" i="3"/>
  <c r="G35" i="3"/>
  <c r="C35" i="3"/>
  <c r="D35" i="3"/>
  <c r="A36" i="3"/>
  <c r="H36" i="3"/>
  <c r="B36" i="3"/>
  <c r="G36" i="3"/>
  <c r="C36" i="3"/>
  <c r="D36" i="3"/>
  <c r="A37" i="3"/>
  <c r="H37" i="3"/>
  <c r="B37" i="3"/>
  <c r="G37" i="3"/>
  <c r="C37" i="3"/>
  <c r="D37" i="3"/>
  <c r="A38" i="3"/>
  <c r="H38" i="3"/>
  <c r="B38" i="3"/>
  <c r="G38" i="3"/>
  <c r="C38" i="3"/>
  <c r="D38" i="3"/>
  <c r="A39" i="3"/>
  <c r="H39" i="3"/>
  <c r="B39" i="3"/>
  <c r="G39" i="3"/>
  <c r="C39" i="3"/>
  <c r="D39" i="3"/>
  <c r="A40" i="3"/>
  <c r="H40" i="3"/>
  <c r="B40" i="3"/>
  <c r="G40" i="3"/>
  <c r="C40" i="3"/>
  <c r="D40" i="3"/>
  <c r="E40" i="3"/>
  <c r="A41" i="3"/>
  <c r="H41" i="3"/>
  <c r="B41" i="3"/>
  <c r="G41" i="3"/>
  <c r="C41" i="3"/>
  <c r="D41" i="3"/>
  <c r="A42" i="3"/>
  <c r="H42" i="3"/>
  <c r="B42" i="3"/>
  <c r="G42" i="3"/>
  <c r="C42" i="3"/>
  <c r="D42" i="3"/>
  <c r="A43" i="3"/>
  <c r="H43" i="3"/>
  <c r="B43" i="3"/>
  <c r="G43" i="3"/>
  <c r="C43" i="3"/>
  <c r="D43" i="3"/>
  <c r="A44" i="3"/>
  <c r="H44" i="3"/>
  <c r="B44" i="3"/>
  <c r="G44" i="3"/>
  <c r="C44" i="3"/>
  <c r="D44" i="3"/>
  <c r="A45" i="3"/>
  <c r="H45" i="3"/>
  <c r="B45" i="3"/>
  <c r="G45" i="3"/>
  <c r="C45" i="3"/>
  <c r="E45" i="3"/>
  <c r="D45" i="3"/>
  <c r="A46" i="3"/>
  <c r="H46" i="3"/>
  <c r="B46" i="3"/>
  <c r="G46" i="3"/>
  <c r="C46" i="3"/>
  <c r="D46" i="3"/>
  <c r="A47" i="3"/>
  <c r="H47" i="3"/>
  <c r="B47" i="3"/>
  <c r="G47" i="3"/>
  <c r="C47" i="3"/>
  <c r="D47" i="3"/>
  <c r="A48" i="3"/>
  <c r="H48" i="3"/>
  <c r="B48" i="3"/>
  <c r="G48" i="3"/>
  <c r="C48" i="3"/>
  <c r="D48" i="3"/>
  <c r="A49" i="3"/>
  <c r="H49" i="3"/>
  <c r="B49" i="3"/>
  <c r="G49" i="3"/>
  <c r="C49" i="3"/>
  <c r="D49" i="3"/>
  <c r="A50" i="3"/>
  <c r="H50" i="3"/>
  <c r="B50" i="3"/>
  <c r="G50" i="3"/>
  <c r="C50" i="3"/>
  <c r="D50" i="3"/>
  <c r="A51" i="3"/>
  <c r="H51" i="3"/>
  <c r="B51" i="3"/>
  <c r="G51" i="3"/>
  <c r="C51" i="3"/>
  <c r="D51" i="3"/>
  <c r="A52" i="3"/>
  <c r="H52" i="3"/>
  <c r="B52" i="3"/>
  <c r="G52" i="3"/>
  <c r="C52" i="3"/>
  <c r="D52" i="3"/>
  <c r="A53" i="3"/>
  <c r="H53" i="3"/>
  <c r="B53" i="3"/>
  <c r="G53" i="3"/>
  <c r="C53" i="3"/>
  <c r="D53" i="3"/>
  <c r="A54" i="3"/>
  <c r="H54" i="3"/>
  <c r="B54" i="3"/>
  <c r="G54" i="3"/>
  <c r="C54" i="3"/>
  <c r="D54" i="3"/>
  <c r="A55" i="3"/>
  <c r="H55" i="3"/>
  <c r="B55" i="3"/>
  <c r="G55" i="3"/>
  <c r="C55" i="3"/>
  <c r="D55" i="3"/>
  <c r="A56" i="3"/>
  <c r="H56" i="3"/>
  <c r="B56" i="3"/>
  <c r="G56" i="3"/>
  <c r="C56" i="3"/>
  <c r="D56" i="3"/>
  <c r="A57" i="3"/>
  <c r="H57" i="3"/>
  <c r="B57" i="3"/>
  <c r="G57" i="3"/>
  <c r="C57" i="3"/>
  <c r="D57" i="3"/>
  <c r="A58" i="3"/>
  <c r="H58" i="3"/>
  <c r="B58" i="3"/>
  <c r="G58" i="3"/>
  <c r="C58" i="3"/>
  <c r="D58" i="3"/>
  <c r="A59" i="3"/>
  <c r="H59" i="3"/>
  <c r="B59" i="3"/>
  <c r="G59" i="3"/>
  <c r="C59" i="3"/>
  <c r="D59" i="3"/>
  <c r="A60" i="3"/>
  <c r="H60" i="3"/>
  <c r="B60" i="3"/>
  <c r="G60" i="3"/>
  <c r="C60" i="3"/>
  <c r="E60" i="3"/>
  <c r="D60" i="3"/>
  <c r="A61" i="3"/>
  <c r="H61" i="3"/>
  <c r="B61" i="3"/>
  <c r="G61" i="3"/>
  <c r="C61" i="3"/>
  <c r="D61" i="3"/>
  <c r="A62" i="3"/>
  <c r="H62" i="3"/>
  <c r="B62" i="3"/>
  <c r="G62" i="3"/>
  <c r="C62" i="3"/>
  <c r="D62" i="3"/>
  <c r="A63" i="3"/>
  <c r="H63" i="3"/>
  <c r="B63" i="3"/>
  <c r="G63" i="3"/>
  <c r="C63" i="3"/>
  <c r="D63" i="3"/>
  <c r="E36" i="2"/>
  <c r="F36" i="2"/>
  <c r="G36" i="2"/>
  <c r="J36" i="2" s="1"/>
  <c r="E44" i="2"/>
  <c r="F44" i="2" s="1"/>
  <c r="G44" i="2" s="1"/>
  <c r="J44" i="2" s="1"/>
  <c r="E52" i="2"/>
  <c r="F52" i="2"/>
  <c r="G52" i="2"/>
  <c r="K52" i="2" s="1"/>
  <c r="E60" i="2"/>
  <c r="F60" i="2" s="1"/>
  <c r="G60" i="2" s="1"/>
  <c r="K60" i="2" s="1"/>
  <c r="E68" i="2"/>
  <c r="F68" i="2"/>
  <c r="G68" i="2"/>
  <c r="K68" i="2" s="1"/>
  <c r="E76" i="2"/>
  <c r="F76" i="2" s="1"/>
  <c r="G76" i="2" s="1"/>
  <c r="K76" i="2" s="1"/>
  <c r="E31" i="2"/>
  <c r="F31" i="2"/>
  <c r="G31" i="2"/>
  <c r="E39" i="2"/>
  <c r="F39" i="2"/>
  <c r="G39" i="2" s="1"/>
  <c r="J39" i="2" s="1"/>
  <c r="E47" i="2"/>
  <c r="F47" i="2" s="1"/>
  <c r="G47" i="2" s="1"/>
  <c r="K47" i="2" s="1"/>
  <c r="E55" i="2"/>
  <c r="F55" i="2"/>
  <c r="G55" i="2" s="1"/>
  <c r="K55" i="2" s="1"/>
  <c r="E63" i="2"/>
  <c r="F63" i="2" s="1"/>
  <c r="G63" i="2" s="1"/>
  <c r="K63" i="2" s="1"/>
  <c r="E71" i="2"/>
  <c r="F71" i="2"/>
  <c r="G71" i="2" s="1"/>
  <c r="K71" i="2" s="1"/>
  <c r="E79" i="2"/>
  <c r="F79" i="2" s="1"/>
  <c r="G79" i="2" s="1"/>
  <c r="K79" i="2" s="1"/>
  <c r="E34" i="2"/>
  <c r="F34" i="2"/>
  <c r="G34" i="2" s="1"/>
  <c r="J34" i="2" s="1"/>
  <c r="E42" i="2"/>
  <c r="F42" i="2" s="1"/>
  <c r="G42" i="2" s="1"/>
  <c r="J42" i="2" s="1"/>
  <c r="E50" i="2"/>
  <c r="F50" i="2"/>
  <c r="G50" i="2" s="1"/>
  <c r="J50" i="2" s="1"/>
  <c r="E58" i="2"/>
  <c r="F58" i="2" s="1"/>
  <c r="G58" i="2" s="1"/>
  <c r="K58" i="2" s="1"/>
  <c r="E66" i="2"/>
  <c r="F66" i="2"/>
  <c r="G66" i="2" s="1"/>
  <c r="K66" i="2" s="1"/>
  <c r="E74" i="2"/>
  <c r="F74" i="2" s="1"/>
  <c r="G74" i="2" s="1"/>
  <c r="J74" i="2" s="1"/>
  <c r="E82" i="2"/>
  <c r="F82" i="2"/>
  <c r="G82" i="2" s="1"/>
  <c r="K82" i="2" s="1"/>
  <c r="E22" i="2"/>
  <c r="F22" i="2" s="1"/>
  <c r="G22" i="2" s="1"/>
  <c r="H22" i="2" s="1"/>
  <c r="E26" i="2"/>
  <c r="F26" i="2"/>
  <c r="G26" i="2" s="1"/>
  <c r="H26" i="2" s="1"/>
  <c r="E30" i="2"/>
  <c r="F30" i="2" s="1"/>
  <c r="G30" i="2" s="1"/>
  <c r="I30" i="2" s="1"/>
  <c r="E37" i="2"/>
  <c r="F37" i="2"/>
  <c r="G37" i="2" s="1"/>
  <c r="J37" i="2" s="1"/>
  <c r="E45" i="2"/>
  <c r="F45" i="2" s="1"/>
  <c r="G45" i="2" s="1"/>
  <c r="J45" i="2" s="1"/>
  <c r="E53" i="2"/>
  <c r="F53" i="2"/>
  <c r="G53" i="2" s="1"/>
  <c r="K53" i="2" s="1"/>
  <c r="E61" i="2"/>
  <c r="F61" i="2" s="1"/>
  <c r="G61" i="2" s="1"/>
  <c r="K61" i="2" s="1"/>
  <c r="E69" i="2"/>
  <c r="F69" i="2"/>
  <c r="G69" i="2" s="1"/>
  <c r="J69" i="2" s="1"/>
  <c r="E77" i="2"/>
  <c r="F77" i="2" s="1"/>
  <c r="G77" i="2" s="1"/>
  <c r="K77" i="2" s="1"/>
  <c r="E85" i="2"/>
  <c r="F85" i="2"/>
  <c r="G85" i="2" s="1"/>
  <c r="K85" i="2" s="1"/>
  <c r="E32" i="2"/>
  <c r="F32" i="2" s="1"/>
  <c r="G32" i="2" s="1"/>
  <c r="I32" i="2" s="1"/>
  <c r="E40" i="2"/>
  <c r="F40" i="2"/>
  <c r="G40" i="2" s="1"/>
  <c r="J40" i="2" s="1"/>
  <c r="E48" i="2"/>
  <c r="F48" i="2" s="1"/>
  <c r="G48" i="2" s="1"/>
  <c r="K48" i="2" s="1"/>
  <c r="E56" i="2"/>
  <c r="F56" i="2"/>
  <c r="G56" i="2" s="1"/>
  <c r="K56" i="2" s="1"/>
  <c r="E64" i="2"/>
  <c r="F64" i="2" s="1"/>
  <c r="G64" i="2" s="1"/>
  <c r="K64" i="2" s="1"/>
  <c r="E72" i="2"/>
  <c r="F72" i="2"/>
  <c r="G72" i="2" s="1"/>
  <c r="K72" i="2" s="1"/>
  <c r="E80" i="2"/>
  <c r="F80" i="2" s="1"/>
  <c r="G80" i="2" s="1"/>
  <c r="K80" i="2" s="1"/>
  <c r="E23" i="2"/>
  <c r="F23" i="2"/>
  <c r="G23" i="2" s="1"/>
  <c r="H23" i="2" s="1"/>
  <c r="E27" i="2"/>
  <c r="F27" i="2" s="1"/>
  <c r="G27" i="2" s="1"/>
  <c r="H27" i="2" s="1"/>
  <c r="E35" i="2"/>
  <c r="F35" i="2"/>
  <c r="G35" i="2" s="1"/>
  <c r="J35" i="2" s="1"/>
  <c r="E43" i="2"/>
  <c r="F43" i="2" s="1"/>
  <c r="G43" i="2" s="1"/>
  <c r="J43" i="2" s="1"/>
  <c r="E51" i="2"/>
  <c r="F51" i="2"/>
  <c r="G51" i="2" s="1"/>
  <c r="J51" i="2" s="1"/>
  <c r="E59" i="2"/>
  <c r="F59" i="2" s="1"/>
  <c r="G59" i="2" s="1"/>
  <c r="K59" i="2" s="1"/>
  <c r="E67" i="2"/>
  <c r="F67" i="2"/>
  <c r="G67" i="2" s="1"/>
  <c r="K67" i="2" s="1"/>
  <c r="E75" i="2"/>
  <c r="F75" i="2" s="1"/>
  <c r="G75" i="2" s="1"/>
  <c r="K75" i="2" s="1"/>
  <c r="E83" i="2"/>
  <c r="F83" i="2"/>
  <c r="G83" i="2" s="1"/>
  <c r="J83" i="2" s="1"/>
  <c r="E21" i="2"/>
  <c r="F21" i="2" s="1"/>
  <c r="G21" i="2" s="1"/>
  <c r="H21" i="2" s="1"/>
  <c r="E70" i="2"/>
  <c r="F70" i="2"/>
  <c r="G70" i="2" s="1"/>
  <c r="K70" i="2" s="1"/>
  <c r="E38" i="2"/>
  <c r="F38" i="2" s="1"/>
  <c r="G38" i="2" s="1"/>
  <c r="J38" i="2" s="1"/>
  <c r="E86" i="1"/>
  <c r="F86" i="1" s="1"/>
  <c r="G86" i="1" s="1"/>
  <c r="K86" i="1" s="1"/>
  <c r="E53" i="1"/>
  <c r="F53" i="1" s="1"/>
  <c r="G53" i="1" s="1"/>
  <c r="K53" i="1" s="1"/>
  <c r="E57" i="2"/>
  <c r="F57" i="2"/>
  <c r="G57" i="2" s="1"/>
  <c r="K57" i="2" s="1"/>
  <c r="E34" i="1"/>
  <c r="F34" i="1" s="1"/>
  <c r="G34" i="1" s="1"/>
  <c r="J34" i="1" s="1"/>
  <c r="G36" i="1"/>
  <c r="J36" i="1"/>
  <c r="E42" i="1"/>
  <c r="F42" i="1" s="1"/>
  <c r="G42" i="1" s="1"/>
  <c r="J42" i="1" s="1"/>
  <c r="G44" i="1"/>
  <c r="J44" i="1"/>
  <c r="E50" i="1"/>
  <c r="E27" i="3"/>
  <c r="E56" i="1"/>
  <c r="E31" i="3" s="1"/>
  <c r="F56" i="1"/>
  <c r="G56" i="1" s="1"/>
  <c r="K56" i="1" s="1"/>
  <c r="E65" i="1"/>
  <c r="F65" i="1"/>
  <c r="G65" i="1" s="1"/>
  <c r="K65" i="1" s="1"/>
  <c r="E73" i="1"/>
  <c r="F73" i="1" s="1"/>
  <c r="G73" i="1" s="1"/>
  <c r="K73" i="1" s="1"/>
  <c r="G75" i="1"/>
  <c r="K75" i="1"/>
  <c r="E81" i="1"/>
  <c r="F81" i="1" s="1"/>
  <c r="G81" i="1" s="1"/>
  <c r="K81" i="1" s="1"/>
  <c r="E58" i="1"/>
  <c r="E51" i="3" s="1"/>
  <c r="E24" i="1"/>
  <c r="F24" i="1"/>
  <c r="E28" i="1"/>
  <c r="E44" i="3" s="1"/>
  <c r="E37" i="1"/>
  <c r="E45" i="1"/>
  <c r="E60" i="1"/>
  <c r="F60" i="1" s="1"/>
  <c r="G60" i="1" s="1"/>
  <c r="K60" i="1" s="1"/>
  <c r="E68" i="1"/>
  <c r="F68" i="1" s="1"/>
  <c r="G68" i="1" s="1"/>
  <c r="K68" i="1" s="1"/>
  <c r="E76" i="1"/>
  <c r="F76" i="1"/>
  <c r="G76" i="1"/>
  <c r="K76" i="1" s="1"/>
  <c r="E84" i="1"/>
  <c r="F84" i="1" s="1"/>
  <c r="U84" i="1" s="1"/>
  <c r="E32" i="1"/>
  <c r="F32" i="1" s="1"/>
  <c r="G32" i="1" s="1"/>
  <c r="I32" i="1" s="1"/>
  <c r="E40" i="1"/>
  <c r="F40" i="1" s="1"/>
  <c r="G40" i="1" s="1"/>
  <c r="J40" i="1" s="1"/>
  <c r="E48" i="1"/>
  <c r="E51" i="1"/>
  <c r="F51" i="1"/>
  <c r="G51" i="1" s="1"/>
  <c r="K51" i="1" s="1"/>
  <c r="E54" i="1"/>
  <c r="F54" i="1"/>
  <c r="G54" i="1" s="1"/>
  <c r="K54" i="1" s="1"/>
  <c r="E63" i="1"/>
  <c r="F63" i="1" s="1"/>
  <c r="G63" i="1" s="1"/>
  <c r="K63" i="1" s="1"/>
  <c r="E71" i="1"/>
  <c r="E79" i="1"/>
  <c r="F79" i="1" s="1"/>
  <c r="G79" i="1" s="1"/>
  <c r="K79" i="1" s="1"/>
  <c r="E87" i="1"/>
  <c r="F87" i="1" s="1"/>
  <c r="G87" i="1" s="1"/>
  <c r="K87" i="1" s="1"/>
  <c r="E21" i="1"/>
  <c r="F21" i="1"/>
  <c r="E25" i="1"/>
  <c r="F25" i="1" s="1"/>
  <c r="G25" i="1" s="1"/>
  <c r="H25" i="1" s="1"/>
  <c r="E29" i="1"/>
  <c r="F29" i="1" s="1"/>
  <c r="G29" i="1" s="1"/>
  <c r="I29" i="1" s="1"/>
  <c r="G22" i="1"/>
  <c r="H22" i="1" s="1"/>
  <c r="E35" i="1"/>
  <c r="F35" i="1"/>
  <c r="E43" i="1"/>
  <c r="F43" i="1" s="1"/>
  <c r="G43" i="1" s="1"/>
  <c r="J43" i="1" s="1"/>
  <c r="E57" i="1"/>
  <c r="E66" i="1"/>
  <c r="E74" i="1"/>
  <c r="F74" i="1"/>
  <c r="E82" i="1"/>
  <c r="F82" i="1" s="1"/>
  <c r="G82" i="1" s="1"/>
  <c r="K82" i="1" s="1"/>
  <c r="E90" i="1"/>
  <c r="F90" i="1"/>
  <c r="G90" i="1" s="1"/>
  <c r="K90" i="1" s="1"/>
  <c r="E38" i="1"/>
  <c r="F38" i="1"/>
  <c r="E46" i="1"/>
  <c r="F46" i="1"/>
  <c r="G46" i="1" s="1"/>
  <c r="K46" i="1" s="1"/>
  <c r="E52" i="1"/>
  <c r="F52" i="1" s="1"/>
  <c r="G52" i="1" s="1"/>
  <c r="K52" i="1" s="1"/>
  <c r="E61" i="1"/>
  <c r="F61" i="1" s="1"/>
  <c r="G61" i="1" s="1"/>
  <c r="K61" i="1" s="1"/>
  <c r="E69" i="1"/>
  <c r="F69" i="1" s="1"/>
  <c r="G69" i="1" s="1"/>
  <c r="J69" i="1" s="1"/>
  <c r="E77" i="1"/>
  <c r="F77" i="1" s="1"/>
  <c r="G77" i="1" s="1"/>
  <c r="K77" i="1" s="1"/>
  <c r="E85" i="1"/>
  <c r="F85" i="1"/>
  <c r="G85" i="1" s="1"/>
  <c r="K85" i="1" s="1"/>
  <c r="E22" i="1"/>
  <c r="F22" i="1"/>
  <c r="E26" i="1"/>
  <c r="E30" i="1"/>
  <c r="F30" i="1" s="1"/>
  <c r="G30" i="1" s="1"/>
  <c r="I30" i="1" s="1"/>
  <c r="E33" i="1"/>
  <c r="E13" i="3" s="1"/>
  <c r="F33" i="1"/>
  <c r="G35" i="1"/>
  <c r="J35" i="1"/>
  <c r="E41" i="1"/>
  <c r="F41" i="1"/>
  <c r="G41" i="1" s="1"/>
  <c r="J41" i="1" s="1"/>
  <c r="E49" i="1"/>
  <c r="F49" i="1"/>
  <c r="G49" i="1" s="1"/>
  <c r="K49" i="1" s="1"/>
  <c r="E55" i="1"/>
  <c r="F55" i="1" s="1"/>
  <c r="G55" i="1" s="1"/>
  <c r="K55" i="1" s="1"/>
  <c r="E64" i="1"/>
  <c r="F64" i="1"/>
  <c r="G64" i="1" s="1"/>
  <c r="K64" i="1" s="1"/>
  <c r="E72" i="1"/>
  <c r="F72" i="1"/>
  <c r="G72" i="1" s="1"/>
  <c r="K72" i="1" s="1"/>
  <c r="G74" i="1"/>
  <c r="J74" i="1" s="1"/>
  <c r="E80" i="1"/>
  <c r="F80" i="1"/>
  <c r="G80" i="1" s="1"/>
  <c r="K80" i="1" s="1"/>
  <c r="E88" i="1"/>
  <c r="F88" i="1"/>
  <c r="G88" i="1" s="1"/>
  <c r="K88" i="1" s="1"/>
  <c r="G23" i="1"/>
  <c r="H23" i="1" s="1"/>
  <c r="E29" i="2"/>
  <c r="F29" i="2"/>
  <c r="G29" i="2"/>
  <c r="I29" i="2" s="1"/>
  <c r="E78" i="2"/>
  <c r="F78" i="2" s="1"/>
  <c r="G78" i="2" s="1"/>
  <c r="J78" i="2" s="1"/>
  <c r="E46" i="2"/>
  <c r="F46" i="2"/>
  <c r="G46" i="2" s="1"/>
  <c r="K46" i="2" s="1"/>
  <c r="E62" i="1"/>
  <c r="F62" i="1" s="1"/>
  <c r="G62" i="1" s="1"/>
  <c r="K62" i="1" s="1"/>
  <c r="E39" i="1"/>
  <c r="E84" i="2"/>
  <c r="F84" i="2" s="1"/>
  <c r="G84" i="2" s="1"/>
  <c r="J84" i="2" s="1"/>
  <c r="E65" i="2"/>
  <c r="F65" i="2" s="1"/>
  <c r="G65" i="2" s="1"/>
  <c r="K65" i="2" s="1"/>
  <c r="E33" i="2"/>
  <c r="F33" i="2" s="1"/>
  <c r="G33" i="2" s="1"/>
  <c r="J33" i="2" s="1"/>
  <c r="E27" i="1"/>
  <c r="F27" i="1"/>
  <c r="E83" i="1"/>
  <c r="F83" i="1" s="1"/>
  <c r="U83" i="1" s="1"/>
  <c r="G38" i="1"/>
  <c r="J38" i="1" s="1"/>
  <c r="E28" i="2"/>
  <c r="F28" i="2" s="1"/>
  <c r="G28" i="2" s="1"/>
  <c r="H28" i="2" s="1"/>
  <c r="E54" i="2"/>
  <c r="F54" i="2" s="1"/>
  <c r="G54" i="2" s="1"/>
  <c r="K54" i="2" s="1"/>
  <c r="G27" i="1"/>
  <c r="H27" i="1"/>
  <c r="G21" i="1"/>
  <c r="H21" i="1"/>
  <c r="E70" i="1"/>
  <c r="F70" i="1" s="1"/>
  <c r="G70" i="1" s="1"/>
  <c r="K70" i="1" s="1"/>
  <c r="E47" i="1"/>
  <c r="F47" i="1"/>
  <c r="G47" i="1" s="1"/>
  <c r="K47" i="1" s="1"/>
  <c r="E25" i="2"/>
  <c r="F25" i="2"/>
  <c r="G25" i="2" s="1"/>
  <c r="H25" i="2" s="1"/>
  <c r="E73" i="2"/>
  <c r="F73" i="2"/>
  <c r="G73" i="2" s="1"/>
  <c r="K73" i="2" s="1"/>
  <c r="E41" i="2"/>
  <c r="F41" i="2"/>
  <c r="G41" i="2" s="1"/>
  <c r="J41" i="2" s="1"/>
  <c r="E62" i="2"/>
  <c r="F62" i="2"/>
  <c r="G62" i="2" s="1"/>
  <c r="K62" i="2" s="1"/>
  <c r="E78" i="1"/>
  <c r="F78" i="1"/>
  <c r="U78" i="1" s="1"/>
  <c r="J78" i="1" s="1"/>
  <c r="G33" i="1"/>
  <c r="J33" i="1" s="1"/>
  <c r="E47" i="3"/>
  <c r="F57" i="1"/>
  <c r="G57" i="1" s="1"/>
  <c r="K57" i="1" s="1"/>
  <c r="E50" i="3"/>
  <c r="F37" i="1"/>
  <c r="G37" i="1"/>
  <c r="J37" i="1"/>
  <c r="E16" i="3"/>
  <c r="E21" i="3"/>
  <c r="E29" i="3"/>
  <c r="E39" i="3"/>
  <c r="E63" i="3"/>
  <c r="E34" i="3"/>
  <c r="E43" i="3"/>
  <c r="E37" i="3"/>
  <c r="E19" i="3"/>
  <c r="E49" i="3"/>
  <c r="E46" i="3"/>
  <c r="E53" i="3"/>
  <c r="E57" i="3"/>
  <c r="E25" i="3"/>
  <c r="E61" i="3"/>
  <c r="E11" i="3"/>
  <c r="I31" i="2"/>
  <c r="E30" i="3"/>
  <c r="E54" i="3"/>
  <c r="E12" i="3"/>
  <c r="E14" i="3"/>
  <c r="E33" i="3"/>
  <c r="F71" i="1"/>
  <c r="G71" i="1" s="1"/>
  <c r="K71" i="1" s="1"/>
  <c r="E58" i="3"/>
  <c r="F39" i="1"/>
  <c r="G39" i="1"/>
  <c r="J39" i="1" s="1"/>
  <c r="E18" i="3"/>
  <c r="F48" i="1"/>
  <c r="G48" i="1" s="1"/>
  <c r="K48" i="1" s="1"/>
  <c r="E48" i="3"/>
  <c r="E35" i="3"/>
  <c r="E59" i="3"/>
  <c r="E55" i="3"/>
  <c r="E17" i="3"/>
  <c r="E36" i="3"/>
  <c r="F26" i="1"/>
  <c r="G26" i="1" s="1"/>
  <c r="H26" i="1" s="1"/>
  <c r="E42" i="3"/>
  <c r="E32" i="3"/>
  <c r="F66" i="1"/>
  <c r="G66" i="1" s="1"/>
  <c r="K66" i="1" s="1"/>
  <c r="E56" i="3"/>
  <c r="F45" i="1"/>
  <c r="G45" i="1"/>
  <c r="J45" i="1" s="1"/>
  <c r="E24" i="3"/>
  <c r="F50" i="1"/>
  <c r="G50" i="1" s="1"/>
  <c r="K50" i="1" s="1"/>
  <c r="E26" i="3"/>
  <c r="E38" i="3"/>
  <c r="E62" i="3"/>
  <c r="E41" i="3"/>
  <c r="E20" i="3"/>
  <c r="E22" i="3"/>
  <c r="C12" i="2"/>
  <c r="C11" i="2"/>
  <c r="O89" i="2" l="1"/>
  <c r="E28" i="3"/>
  <c r="F58" i="1"/>
  <c r="F59" i="1"/>
  <c r="G59" i="1" s="1"/>
  <c r="K59" i="1" s="1"/>
  <c r="F28" i="1"/>
  <c r="G28" i="1" s="1"/>
  <c r="H28" i="1" s="1"/>
  <c r="O93" i="2"/>
  <c r="O95" i="2"/>
  <c r="O91" i="2"/>
  <c r="O92" i="2"/>
  <c r="O94" i="2"/>
  <c r="C16" i="2"/>
  <c r="D18" i="2" s="1"/>
  <c r="O90" i="2"/>
  <c r="O55" i="2"/>
  <c r="O53" i="2"/>
  <c r="O56" i="2"/>
  <c r="O74" i="2"/>
  <c r="O65" i="2"/>
  <c r="O66" i="2"/>
  <c r="O67" i="2"/>
  <c r="O48" i="2"/>
  <c r="O52" i="2"/>
  <c r="O63" i="2"/>
  <c r="O61" i="2"/>
  <c r="O64" i="2"/>
  <c r="O68" i="2"/>
  <c r="O75" i="2"/>
  <c r="O82" i="2"/>
  <c r="O70" i="2"/>
  <c r="O58" i="2"/>
  <c r="O34" i="2"/>
  <c r="O69" i="2"/>
  <c r="O72" i="2"/>
  <c r="O71" i="2"/>
  <c r="O78" i="2"/>
  <c r="O38" i="2"/>
  <c r="O83" i="2"/>
  <c r="O36" i="2"/>
  <c r="O42" i="2"/>
  <c r="O77" i="2"/>
  <c r="O80" i="2"/>
  <c r="O81" i="2"/>
  <c r="O46" i="2"/>
  <c r="O43" i="2"/>
  <c r="O47" i="2"/>
  <c r="O88" i="2"/>
  <c r="O44" i="2"/>
  <c r="O50" i="2"/>
  <c r="O85" i="2"/>
  <c r="O35" i="2"/>
  <c r="O84" i="2"/>
  <c r="O51" i="2"/>
  <c r="O73" i="2"/>
  <c r="O57" i="2"/>
  <c r="O86" i="2"/>
  <c r="O31" i="2"/>
  <c r="C15" i="2"/>
  <c r="O32" i="2"/>
  <c r="O60" i="2"/>
  <c r="O41" i="2"/>
  <c r="O33" i="2"/>
  <c r="O76" i="2"/>
  <c r="O62" i="2"/>
  <c r="O87" i="2"/>
  <c r="O39" i="2"/>
  <c r="O37" i="2"/>
  <c r="O40" i="2"/>
  <c r="O49" i="2"/>
  <c r="O54" i="2"/>
  <c r="O59" i="2"/>
  <c r="O79" i="2"/>
  <c r="O45" i="2"/>
  <c r="C11" i="1"/>
  <c r="C12" i="1"/>
  <c r="O95" i="1" l="1"/>
  <c r="O90" i="1"/>
  <c r="O33" i="1"/>
  <c r="O32" i="1"/>
  <c r="O56" i="1"/>
  <c r="O50" i="1"/>
  <c r="O58" i="1"/>
  <c r="O84" i="1"/>
  <c r="O71" i="1"/>
  <c r="O77" i="1"/>
  <c r="O48" i="1"/>
  <c r="O74" i="1"/>
  <c r="O61" i="1"/>
  <c r="O76" i="1"/>
  <c r="O94" i="1"/>
  <c r="O85" i="1"/>
  <c r="O64" i="1"/>
  <c r="O83" i="1"/>
  <c r="O54" i="1"/>
  <c r="O86" i="1"/>
  <c r="O31" i="1"/>
  <c r="O41" i="1"/>
  <c r="O51" i="1"/>
  <c r="O59" i="1"/>
  <c r="O53" i="1"/>
  <c r="O60" i="1"/>
  <c r="O38" i="1"/>
  <c r="O68" i="1"/>
  <c r="O82" i="1"/>
  <c r="O40" i="1"/>
  <c r="O62" i="1"/>
  <c r="O87" i="1"/>
  <c r="C15" i="1"/>
  <c r="C18" i="1" s="1"/>
  <c r="O34" i="1"/>
  <c r="O42" i="1"/>
  <c r="O65" i="1"/>
  <c r="O67" i="1"/>
  <c r="O72" i="1"/>
  <c r="O63" i="1"/>
  <c r="O36" i="1"/>
  <c r="O37" i="1"/>
  <c r="O35" i="1"/>
  <c r="O75" i="1"/>
  <c r="O49" i="1"/>
  <c r="O70" i="1"/>
  <c r="O43" i="1"/>
  <c r="O89" i="1"/>
  <c r="O44" i="1"/>
  <c r="O93" i="1"/>
  <c r="O73" i="1"/>
  <c r="O45" i="1"/>
  <c r="O46" i="1"/>
  <c r="O92" i="1"/>
  <c r="O80" i="1"/>
  <c r="O91" i="1"/>
  <c r="O79" i="1"/>
  <c r="O81" i="1"/>
  <c r="O39" i="1"/>
  <c r="O47" i="1"/>
  <c r="O66" i="1"/>
  <c r="O52" i="1"/>
  <c r="O69" i="1"/>
  <c r="O78" i="1"/>
  <c r="O88" i="1"/>
  <c r="O57" i="1"/>
  <c r="O55" i="1"/>
  <c r="C16" i="1"/>
  <c r="D18" i="1" s="1"/>
  <c r="U58" i="1"/>
  <c r="C18" i="2"/>
  <c r="F18" i="2"/>
  <c r="F19" i="2" s="1"/>
  <c r="F18" i="1" l="1"/>
  <c r="F19" i="1" s="1"/>
</calcChain>
</file>

<file path=xl/sharedStrings.xml><?xml version="1.0" encoding="utf-8"?>
<sst xmlns="http://schemas.openxmlformats.org/spreadsheetml/2006/main" count="823" uniqueCount="309">
  <si>
    <t>V0453 Mon / GSC 04804-01104</t>
  </si>
  <si>
    <t>System Type:</t>
  </si>
  <si>
    <t>EW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</si>
  <si>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</si>
  <si>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</si>
  <si>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</si>
  <si>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</si>
  <si>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</si>
  <si>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</si>
  <si>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New period found by ToMcat (period search software)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</si>
  <si>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</si>
  <si>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</si>
  <si>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</si>
  <si>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</si>
  <si>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</si>
  <si>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</si>
  <si>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</si>
  <si>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</si>
  <si>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</si>
  <si>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</si>
  <si>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</si>
  <si>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</si>
  <si>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</si>
  <si>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</si>
  <si>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</si>
  <si>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</si>
  <si>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</si>
  <si>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</si>
  <si>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</si>
  <si>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</si>
  <si>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</si>
  <si>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</si>
  <si>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</si>
  <si>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</si>
  <si>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</si>
  <si>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</si>
  <si>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</si>
  <si>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</si>
  <si>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</si>
  <si>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</si>
  <si>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</si>
  <si>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</si>
  <si>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</si>
  <si>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BAD?</t>
  </si>
  <si>
    <t> AHSB 7.3.181 </t>
  </si>
  <si>
    <t>I</t>
  </si>
  <si>
    <t>GCVS 4</t>
  </si>
  <si>
    <t>BBSAG Bull.21</t>
  </si>
  <si>
    <t>Diethelm R</t>
  </si>
  <si>
    <t>B</t>
  </si>
  <si>
    <t>BBSAG Bull.36</t>
  </si>
  <si>
    <t>BAVM 56 </t>
  </si>
  <si>
    <t>BAVM 59 </t>
  </si>
  <si>
    <t>IBVS 4562</t>
  </si>
  <si>
    <t>II</t>
  </si>
  <si>
    <t>IBVS 4711</t>
  </si>
  <si>
    <t>IBVS 4912</t>
  </si>
  <si>
    <t>OEJV 0074</t>
  </si>
  <si>
    <t>CCD+V</t>
  </si>
  <si>
    <t>VSB 40 </t>
  </si>
  <si>
    <t>IBVS 5643</t>
  </si>
  <si>
    <t>IBVS 5731</t>
  </si>
  <si>
    <t>IBVS 5676</t>
  </si>
  <si>
    <t>IBVS 5583</t>
  </si>
  <si>
    <t>I:</t>
  </si>
  <si>
    <t>JAVSO..41..122</t>
  </si>
  <si>
    <t>IBVS 5741</t>
  </si>
  <si>
    <t>BAVM 178 </t>
  </si>
  <si>
    <t>VSB 44 </t>
  </si>
  <si>
    <t>OEJV 0094 </t>
  </si>
  <si>
    <t>OEJV 0094</t>
  </si>
  <si>
    <t>VSB 48 </t>
  </si>
  <si>
    <t>IBVS 5918</t>
  </si>
  <si>
    <t>IBVS 5894</t>
  </si>
  <si>
    <t>VSB 53 </t>
  </si>
  <si>
    <t>BAVM 225 </t>
  </si>
  <si>
    <t>IBVS 5992</t>
  </si>
  <si>
    <t>IBVS 6010</t>
  </si>
  <si>
    <t>VSB 55 </t>
  </si>
  <si>
    <t>OEJV 0160</t>
  </si>
  <si>
    <t>IBVS 6118</t>
  </si>
  <si>
    <t>OEJV 0168</t>
  </si>
  <si>
    <t>IBVS 6157</t>
  </si>
  <si>
    <t>VSB 060</t>
  </si>
  <si>
    <t>Rc</t>
  </si>
  <si>
    <t>VSB 069</t>
  </si>
  <si>
    <t>V</t>
  </si>
  <si>
    <t>Ic</t>
  </si>
  <si>
    <t>GCVS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</si>
  <si>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</si>
  <si>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</si>
  <si>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</si>
  <si>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</si>
  <si>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</si>
  <si>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</si>
  <si>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2442450.346 </t>
  </si>
  <si>
    <t> 06.02.1975 20:18 </t>
  </si>
  <si>
    <t> 0.001 </t>
  </si>
  <si>
    <t>V </t>
  </si>
  <si>
    <t> R.Diethelm </t>
  </si>
  <si>
    <t> BBS 21 </t>
  </si>
  <si>
    <t>2443496.658 </t>
  </si>
  <si>
    <t> 19.12.1977 03:47 </t>
  </si>
  <si>
    <t> -0.027 </t>
  </si>
  <si>
    <t> BBS 36 </t>
  </si>
  <si>
    <t>2450444.4482 </t>
  </si>
  <si>
    <t> 26.12.1996 22:45 </t>
  </si>
  <si>
    <t> -0.1236 </t>
  </si>
  <si>
    <t>E </t>
  </si>
  <si>
    <t>o</t>
  </si>
  <si>
    <t> W.Moschner </t>
  </si>
  <si>
    <t>BAVM 102 </t>
  </si>
  <si>
    <t>2450508.3218 </t>
  </si>
  <si>
    <t> 28.02.1997 19:43 </t>
  </si>
  <si>
    <t> -0.1433 </t>
  </si>
  <si>
    <t>2450519.3087 </t>
  </si>
  <si>
    <t> 11.03.1997 19:24 </t>
  </si>
  <si>
    <t> -0.1488 </t>
  </si>
  <si>
    <t>2450530.2991 </t>
  </si>
  <si>
    <t> 22.03.1997 19:10 </t>
  </si>
  <si>
    <t> -0.1508 </t>
  </si>
  <si>
    <t>2450743.6388 </t>
  </si>
  <si>
    <t> 22.10.1997 03:19 </t>
  </si>
  <si>
    <t> -0.1325 </t>
  </si>
  <si>
    <t>BAVM 117 </t>
  </si>
  <si>
    <t>2450799.5922 </t>
  </si>
  <si>
    <t> 17.12.1997 02:12 </t>
  </si>
  <si>
    <t> -0.1717 </t>
  </si>
  <si>
    <t>2450824.3763 </t>
  </si>
  <si>
    <t> 10.01.1998 21:01 </t>
  </si>
  <si>
    <t> -0.1205 </t>
  </si>
  <si>
    <t>2450825.3996 </t>
  </si>
  <si>
    <t> 11.01.1998 21:35 </t>
  </si>
  <si>
    <t> -0.1277 </t>
  </si>
  <si>
    <t>2450839.4500 </t>
  </si>
  <si>
    <t> 25.01.1998 22:48 </t>
  </si>
  <si>
    <t> -0.1613 </t>
  </si>
  <si>
    <t>2450855.2917 </t>
  </si>
  <si>
    <t> 10.02.1998 19:00 </t>
  </si>
  <si>
    <t> -0.1212 </t>
  </si>
  <si>
    <t>2451165.4676 </t>
  </si>
  <si>
    <t> 17.12.1998 23:13 </t>
  </si>
  <si>
    <t> -0.1372 </t>
  </si>
  <si>
    <t>2451252.3399 </t>
  </si>
  <si>
    <t> 14.03.1999 20:09 </t>
  </si>
  <si>
    <t> -0.1736 </t>
  </si>
  <si>
    <t>BAVM 128 </t>
  </si>
  <si>
    <t>2452321.35190 </t>
  </si>
  <si>
    <t> 15.02.2002 20:26 </t>
  </si>
  <si>
    <t> -0.17300 </t>
  </si>
  <si>
    <t>C </t>
  </si>
  <si>
    <t> P.Hájek </t>
  </si>
  <si>
    <t>OEJV 0074 </t>
  </si>
  <si>
    <t>2452690.2955 </t>
  </si>
  <si>
    <t> 19.02.2003 19:05 </t>
  </si>
  <si>
    <t> -0.1620 </t>
  </si>
  <si>
    <t> Moschner&amp;Frank </t>
  </si>
  <si>
    <t> W.Moschner &amp; P.Frank </t>
  </si>
  <si>
    <t>BAVM 172 </t>
  </si>
  <si>
    <t>2452981.5676 </t>
  </si>
  <si>
    <t> 08.12.2003 01:37 </t>
  </si>
  <si>
    <t> -0.1886 </t>
  </si>
  <si>
    <t>?</t>
  </si>
  <si>
    <t> L.Kotková &amp; M.Wolf </t>
  </si>
  <si>
    <t>IBVS 5676 </t>
  </si>
  <si>
    <t>2453062.3045 </t>
  </si>
  <si>
    <t> 26.02.2004 19:18 </t>
  </si>
  <si>
    <t> -0.1772 </t>
  </si>
  <si>
    <t>2453068.4369 </t>
  </si>
  <si>
    <t> 03.03.2004 22:29 </t>
  </si>
  <si>
    <t> -0.2280 </t>
  </si>
  <si>
    <t>R</t>
  </si>
  <si>
    <t> M.Zejda </t>
  </si>
  <si>
    <t>IBVS 5583 </t>
  </si>
  <si>
    <t>2453068.6918 </t>
  </si>
  <si>
    <t> 04.03.2004 04:36 </t>
  </si>
  <si>
    <t> -0.3166 </t>
  </si>
  <si>
    <t> S.Dvorak </t>
  </si>
  <si>
    <t> JAAVSO 41;122 </t>
  </si>
  <si>
    <t>2454832.4175 </t>
  </si>
  <si>
    <t> 31.12.2008 22:01 </t>
  </si>
  <si>
    <t> -0.5284 </t>
  </si>
  <si>
    <t>-U;-I</t>
  </si>
  <si>
    <t> M.&amp; K.Rätz </t>
  </si>
  <si>
    <t>BAVM 209 </t>
  </si>
  <si>
    <t>2454887.6042 </t>
  </si>
  <si>
    <t> 25.02.2009 02:30 </t>
  </si>
  <si>
    <t>31538.5</t>
  </si>
  <si>
    <t> -0.6472 </t>
  </si>
  <si>
    <t>IBVS 5894 </t>
  </si>
  <si>
    <t>2455609.6517 </t>
  </si>
  <si>
    <t> 17.02.2011 03:38 </t>
  </si>
  <si>
    <t>32589.5</t>
  </si>
  <si>
    <t> -0.6633 </t>
  </si>
  <si>
    <t>IBVS 5992 </t>
  </si>
  <si>
    <t>2455642.3550 </t>
  </si>
  <si>
    <t> 21.03.2011 20:31 </t>
  </si>
  <si>
    <t>32637</t>
  </si>
  <si>
    <t> -0.5937 </t>
  </si>
  <si>
    <t>BAVM 220 </t>
  </si>
  <si>
    <t>2456269.61024 </t>
  </si>
  <si>
    <t> 08.12.2012 02:38 </t>
  </si>
  <si>
    <t>33550</t>
  </si>
  <si>
    <t> -0.59257 </t>
  </si>
  <si>
    <t> M.Mašek </t>
  </si>
  <si>
    <t>OEJV 0160 </t>
  </si>
  <si>
    <t>2456612.4847 </t>
  </si>
  <si>
    <t> 15.11.2013 23:37 </t>
  </si>
  <si>
    <t>34049</t>
  </si>
  <si>
    <t> -0.5437 </t>
  </si>
  <si>
    <t>BAVM 234 </t>
  </si>
  <si>
    <t>2429344.297 </t>
  </si>
  <si>
    <t> 21.03.1939 19:07 </t>
  </si>
  <si>
    <t> -0.010 </t>
  </si>
  <si>
    <t>F </t>
  </si>
  <si>
    <t> A.A.Wachmann </t>
  </si>
  <si>
    <t>2430382.414 </t>
  </si>
  <si>
    <t> 22.01.1942 21:56 </t>
  </si>
  <si>
    <t> 0.012 </t>
  </si>
  <si>
    <t>2431846.448 </t>
  </si>
  <si>
    <t> 25.01.1946 22:45 </t>
  </si>
  <si>
    <t> -0.005 </t>
  </si>
  <si>
    <t>2433220.513 </t>
  </si>
  <si>
    <t> 31.10.1949 00:18 </t>
  </si>
  <si>
    <t> 0.009 </t>
  </si>
  <si>
    <t>2434768.379 </t>
  </si>
  <si>
    <t> 25.01.1954 21:05 </t>
  </si>
  <si>
    <t> 0.007 </t>
  </si>
  <si>
    <t>2435161.351 </t>
  </si>
  <si>
    <t> 22.02.1955 20:25 </t>
  </si>
  <si>
    <t>2436983.343 </t>
  </si>
  <si>
    <t> 18.02.1960 20:13 </t>
  </si>
  <si>
    <t>2447928.281 </t>
  </si>
  <si>
    <t> 05.02.1990 18:44 </t>
  </si>
  <si>
    <t> -0.061 </t>
  </si>
  <si>
    <t> Moschner&amp;Kleikamp </t>
  </si>
  <si>
    <t>2448290.326 </t>
  </si>
  <si>
    <t> 02.02.1991 19:49 </t>
  </si>
  <si>
    <t> -0.078 </t>
  </si>
  <si>
    <t>2452327.9971 </t>
  </si>
  <si>
    <t> 22.02.2002 11:55 </t>
  </si>
  <si>
    <t> -0.0545 </t>
  </si>
  <si>
    <t> Nakajima </t>
  </si>
  <si>
    <t>2452354.0567 </t>
  </si>
  <si>
    <t> 20.03.2002 13:21 </t>
  </si>
  <si>
    <t> -0.1019 </t>
  </si>
  <si>
    <t> Kiyota </t>
  </si>
  <si>
    <t>2452619.2686 </t>
  </si>
  <si>
    <t> 10.12.2002 18:26 </t>
  </si>
  <si>
    <t> -0.0818 </t>
  </si>
  <si>
    <t>2453410.2971 </t>
  </si>
  <si>
    <t> 08.02.2005 19:07 </t>
  </si>
  <si>
    <t> -0.5064 </t>
  </si>
  <si>
    <t> M.Zejda et al. </t>
  </si>
  <si>
    <t>IBVS 5741 </t>
  </si>
  <si>
    <t>2453690.2955 </t>
  </si>
  <si>
    <t> 15.11.2005 19:05 </t>
  </si>
  <si>
    <t> -0.1273 </t>
  </si>
  <si>
    <t>2453708.2157 </t>
  </si>
  <si>
    <t> 03.12.2005 17:10 </t>
  </si>
  <si>
    <t> -0.4133 </t>
  </si>
  <si>
    <t> K.Nagai </t>
  </si>
  <si>
    <t>2454512.2732 </t>
  </si>
  <si>
    <t> 15.02.2008 18:33 </t>
  </si>
  <si>
    <t> -0.5189 </t>
  </si>
  <si>
    <t> H.Kucáková </t>
  </si>
  <si>
    <t>2454512.2739 </t>
  </si>
  <si>
    <t> 15.02.2008 18:34 </t>
  </si>
  <si>
    <t> -0.5182 </t>
  </si>
  <si>
    <t>2454512.2749 </t>
  </si>
  <si>
    <t> 15.02.2008 18:35 </t>
  </si>
  <si>
    <t> -0.5172 </t>
  </si>
  <si>
    <t>2454536.2912 </t>
  </si>
  <si>
    <t> 10.03.2008 18:59 </t>
  </si>
  <si>
    <t> -0.5468 </t>
  </si>
  <si>
    <t> R.Ehrenberger </t>
  </si>
  <si>
    <t>2454808.145 </t>
  </si>
  <si>
    <t> 07.12.2008 15:28 </t>
  </si>
  <si>
    <t> -0.411 </t>
  </si>
  <si>
    <t> H.Itoh </t>
  </si>
  <si>
    <t>2455574.1369 </t>
  </si>
  <si>
    <t> 12.01.2011 15:17 </t>
  </si>
  <si>
    <t>32538</t>
  </si>
  <si>
    <t> -0.7963 </t>
  </si>
  <si>
    <t>2455593.3001 </t>
  </si>
  <si>
    <t> 31.01.2011 19:12 </t>
  </si>
  <si>
    <t>32565.5</t>
  </si>
  <si>
    <t> -0.5263 </t>
  </si>
  <si>
    <t>2455977.0612 </t>
  </si>
  <si>
    <t> 19.02.2012 13:28 </t>
  </si>
  <si>
    <t>33124</t>
  </si>
  <si>
    <t> -0.4688 </t>
  </si>
  <si>
    <t> K.Shiokawa </t>
  </si>
  <si>
    <t>2456281.1073 </t>
  </si>
  <si>
    <t> 19.12.2012 14:34 </t>
  </si>
  <si>
    <t>33567</t>
  </si>
  <si>
    <t> -0.7749 </t>
  </si>
  <si>
    <t>2457061.6683 </t>
  </si>
  <si>
    <t> 08.02.2015 04:02 </t>
  </si>
  <si>
    <t>34703</t>
  </si>
  <si>
    <t> -0.6747 </t>
  </si>
  <si>
    <t>BAVM 241 (=IBVS 6157) </t>
  </si>
  <si>
    <t>2457062.6921 </t>
  </si>
  <si>
    <t> 09.02.2015 04:36 </t>
  </si>
  <si>
    <t>34704.5</t>
  </si>
  <si>
    <t> -0.6814 </t>
  </si>
  <si>
    <t>RHN 2021</t>
  </si>
  <si>
    <t>VSB, 108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</si>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</sst>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mm/dd/yy\ hh:mm\ AM/PM"/>
    <numFmt numFmtId="167" formatCode="dd/mm/yyyy"/>
    <numFmt numFmtId="168" formatCode="0.00000"/>
    <numFmt numFmtId="169" formatCode="0.0000"/>
  </numFmts>
  <fonts count="20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name val="Arial Unicode MS"/>
      <family val="2"/>
    </font>
    <font>
      <sz val="10"/>
      <color indexed="12"/>
      <name val="Arial"/>
      <family val="2"/>
    </font>
    <font>
      <sz val="9"/>
      <color indexed="12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7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</cellStyleXfs>
  <cellXfs count="68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4" borderId="11" xfId="0" applyFont="1" applyFill="1" applyBorder="1" applyAlignment="1">
      <alignment horizontal="left" vertical="top" wrapText="1" indent="1"/>
    </xf>
    <xf numFmtId="0" fontId="3" fillId="4" borderId="11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right" vertical="top" wrapText="1"/>
    </xf>
    <xf numFmtId="0" fontId="16" fillId="4" borderId="11" xfId="5" applyNumberFormat="1" applyFill="1" applyBorder="1" applyAlignment="1" applyProtection="1">
      <alignment horizontal="right" vertical="top" wrapText="1"/>
    </xf>
    <xf numFmtId="14" fontId="0" fillId="0" borderId="0" xfId="0" applyNumberFormat="1" applyAlignment="1"/>
    <xf numFmtId="168" fontId="19" fillId="0" borderId="0" xfId="0" applyNumberFormat="1" applyFont="1" applyAlignment="1" applyProtection="1">
      <alignment vertical="center" wrapText="1"/>
      <protection locked="0"/>
    </xf>
    <xf numFmtId="0" fontId="1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14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6" applyFont="1" applyAlignment="1">
      <alignment horizontal="left"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vertical="center"/>
    </xf>
    <xf numFmtId="0" fontId="17" fillId="0" borderId="0" xfId="0" applyFont="1" applyAlignment="1">
      <alignment vertical="center" wrapText="1"/>
    </xf>
    <xf numFmtId="0" fontId="19" fillId="0" borderId="0" xfId="0" applyFont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169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66" fontId="8" fillId="0" borderId="0" xfId="0" applyNumberFormat="1" applyFont="1" applyAlignment="1">
      <alignment vertical="center"/>
    </xf>
    <xf numFmtId="167" fontId="0" fillId="0" borderId="0" xfId="0" applyNumberFormat="1" applyAlignment="1">
      <alignment vertical="center"/>
    </xf>
    <xf numFmtId="0" fontId="8" fillId="3" borderId="0" xfId="0" applyFont="1" applyFill="1" applyAlignment="1">
      <alignment vertical="center"/>
    </xf>
  </cellXfs>
  <cellStyles count="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V0453 Mon - O-C Diagr.</a:t>
            </a:r>
          </a:p>
        </c:rich>
      </c:tx>
      <c:layout>
        <c:manualLayout>
          <c:xMode val="edge"/>
          <c:yMode val="edge"/>
          <c:x val="0.3425129087779690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06884681583478"/>
          <c:y val="0.14150986853217293"/>
          <c:w val="0.78657487091222034"/>
          <c:h val="0.660379386483473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51523.5</c:v>
                </c:pt>
                <c:pt idx="69">
                  <c:v>51554.5</c:v>
                </c:pt>
                <c:pt idx="70">
                  <c:v>52183.5</c:v>
                </c:pt>
                <c:pt idx="71">
                  <c:v>52183.5</c:v>
                </c:pt>
                <c:pt idx="72">
                  <c:v>52183.5</c:v>
                </c:pt>
                <c:pt idx="73">
                  <c:v>52263.5</c:v>
                </c:pt>
                <c:pt idx="74">
                  <c:v>52263.5</c:v>
                </c:pt>
              </c:numCache>
            </c:numRef>
          </c:xVal>
          <c:yVal>
            <c:numRef>
              <c:f>'Active 1'!$H$21:$H$988</c:f>
              <c:numCache>
                <c:formatCode>General</c:formatCode>
                <c:ptCount val="968"/>
                <c:pt idx="0">
                  <c:v>-0.26441500000146334</c:v>
                </c:pt>
                <c:pt idx="1">
                  <c:v>-0.24594649999926332</c:v>
                </c:pt>
                <c:pt idx="2">
                  <c:v>-0.22981150000123307</c:v>
                </c:pt>
                <c:pt idx="3">
                  <c:v>0</c:v>
                </c:pt>
                <c:pt idx="4">
                  <c:v>-0.24650050000491319</c:v>
                </c:pt>
                <c:pt idx="5">
                  <c:v>-0.20252949999849079</c:v>
                </c:pt>
                <c:pt idx="6">
                  <c:v>-0.19029849999787984</c:v>
                </c:pt>
                <c:pt idx="7">
                  <c:v>-0.17236399999819696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3F-45F3-955A-D94A3E48A91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51523.5</c:v>
                </c:pt>
                <c:pt idx="69">
                  <c:v>51554.5</c:v>
                </c:pt>
                <c:pt idx="70">
                  <c:v>52183.5</c:v>
                </c:pt>
                <c:pt idx="71">
                  <c:v>52183.5</c:v>
                </c:pt>
                <c:pt idx="72">
                  <c:v>52183.5</c:v>
                </c:pt>
                <c:pt idx="73">
                  <c:v>52263.5</c:v>
                </c:pt>
                <c:pt idx="74">
                  <c:v>52263.5</c:v>
                </c:pt>
              </c:numCache>
            </c:numRef>
          </c:xVal>
          <c:yVal>
            <c:numRef>
              <c:f>'Active 1'!$I$21:$I$988</c:f>
              <c:numCache>
                <c:formatCode>General</c:formatCode>
                <c:ptCount val="968"/>
                <c:pt idx="8">
                  <c:v>-0.11356250000244472</c:v>
                </c:pt>
                <c:pt idx="9">
                  <c:v>-7.6110000001790468E-2</c:v>
                </c:pt>
                <c:pt idx="10">
                  <c:v>-0.10928250000142725</c:v>
                </c:pt>
                <c:pt idx="11">
                  <c:v>-0.10849099999904865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43F-45F3-955A-D94A3E48A913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51523.5</c:v>
                </c:pt>
                <c:pt idx="69">
                  <c:v>51554.5</c:v>
                </c:pt>
                <c:pt idx="70">
                  <c:v>52183.5</c:v>
                </c:pt>
                <c:pt idx="71">
                  <c:v>52183.5</c:v>
                </c:pt>
                <c:pt idx="72">
                  <c:v>52183.5</c:v>
                </c:pt>
                <c:pt idx="73">
                  <c:v>52263.5</c:v>
                </c:pt>
                <c:pt idx="74">
                  <c:v>52263.5</c:v>
                </c:pt>
              </c:numCache>
            </c:numRef>
          </c:xVal>
          <c:yVal>
            <c:numRef>
              <c:f>'Active 1'!$J$21:$J$988</c:f>
              <c:numCache>
                <c:formatCode>General</c:formatCode>
                <c:ptCount val="968"/>
                <c:pt idx="12">
                  <c:v>-0.11100650000298629</c:v>
                </c:pt>
                <c:pt idx="13">
                  <c:v>-0.1127314999976079</c:v>
                </c:pt>
                <c:pt idx="14">
                  <c:v>-0.11253150000266032</c:v>
                </c:pt>
                <c:pt idx="15">
                  <c:v>-0.1121530000018538</c:v>
                </c:pt>
                <c:pt idx="16">
                  <c:v>-0.10827450000942918</c:v>
                </c:pt>
                <c:pt idx="17">
                  <c:v>-0.11149199999636039</c:v>
                </c:pt>
                <c:pt idx="18">
                  <c:v>-0.11270150000200374</c:v>
                </c:pt>
                <c:pt idx="19">
                  <c:v>-0.11215000000083819</c:v>
                </c:pt>
                <c:pt idx="20">
                  <c:v>-0.11085200000525219</c:v>
                </c:pt>
                <c:pt idx="21">
                  <c:v>-0.11297950000152923</c:v>
                </c:pt>
                <c:pt idx="22">
                  <c:v>-0.1123105000006035</c:v>
                </c:pt>
                <c:pt idx="23">
                  <c:v>-0.11401750000368338</c:v>
                </c:pt>
                <c:pt idx="24">
                  <c:v>-0.11188750000292202</c:v>
                </c:pt>
                <c:pt idx="48">
                  <c:v>-0.10729349999746773</c:v>
                </c:pt>
                <c:pt idx="53">
                  <c:v>-0.10637850000057369</c:v>
                </c:pt>
                <c:pt idx="57">
                  <c:v>-0.11207699999795295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43F-45F3-955A-D94A3E48A913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51523.5</c:v>
                </c:pt>
                <c:pt idx="69">
                  <c:v>51554.5</c:v>
                </c:pt>
                <c:pt idx="70">
                  <c:v>52183.5</c:v>
                </c:pt>
                <c:pt idx="71">
                  <c:v>52183.5</c:v>
                </c:pt>
                <c:pt idx="72">
                  <c:v>52183.5</c:v>
                </c:pt>
                <c:pt idx="73">
                  <c:v>52263.5</c:v>
                </c:pt>
                <c:pt idx="74">
                  <c:v>52263.5</c:v>
                </c:pt>
              </c:numCache>
            </c:numRef>
          </c:xVal>
          <c:yVal>
            <c:numRef>
              <c:f>'Active 1'!$K$21:$K$988</c:f>
              <c:numCache>
                <c:formatCode>General</c:formatCode>
                <c:ptCount val="968"/>
                <c:pt idx="25">
                  <c:v>-0.11397949999809498</c:v>
                </c:pt>
                <c:pt idx="26">
                  <c:v>-0.11179250000714092</c:v>
                </c:pt>
                <c:pt idx="27">
                  <c:v>-0.11324350000359118</c:v>
                </c:pt>
                <c:pt idx="28">
                  <c:v>-0.11086249999789288</c:v>
                </c:pt>
                <c:pt idx="29">
                  <c:v>-0.11310150000645081</c:v>
                </c:pt>
                <c:pt idx="30">
                  <c:v>-0.11310150000645081</c:v>
                </c:pt>
                <c:pt idx="31">
                  <c:v>-0.11157149999780813</c:v>
                </c:pt>
                <c:pt idx="32">
                  <c:v>-0.11282950000895653</c:v>
                </c:pt>
                <c:pt idx="33">
                  <c:v>-0.11244150000129594</c:v>
                </c:pt>
                <c:pt idx="34">
                  <c:v>-0.11244150000129594</c:v>
                </c:pt>
                <c:pt idx="35">
                  <c:v>-0.11304199999722186</c:v>
                </c:pt>
                <c:pt idx="36">
                  <c:v>-0.11191050000343239</c:v>
                </c:pt>
                <c:pt idx="38">
                  <c:v>-0.10689350000029663</c:v>
                </c:pt>
                <c:pt idx="39">
                  <c:v>-0.1094669999947655</c:v>
                </c:pt>
                <c:pt idx="40">
                  <c:v>-0.1094569999986561</c:v>
                </c:pt>
                <c:pt idx="41">
                  <c:v>-0.10876699999789707</c:v>
                </c:pt>
                <c:pt idx="42">
                  <c:v>-0.1087069999994128</c:v>
                </c:pt>
                <c:pt idx="43">
                  <c:v>-0.10776700000133133</c:v>
                </c:pt>
                <c:pt idx="44">
                  <c:v>-0.10774699999456061</c:v>
                </c:pt>
                <c:pt idx="45">
                  <c:v>-0.10851399999955902</c:v>
                </c:pt>
                <c:pt idx="46">
                  <c:v>-0.1084839999966789</c:v>
                </c:pt>
                <c:pt idx="47">
                  <c:v>-0.10724600000685314</c:v>
                </c:pt>
                <c:pt idx="49">
                  <c:v>-0.10870150000118883</c:v>
                </c:pt>
                <c:pt idx="50">
                  <c:v>-0.10584500000550179</c:v>
                </c:pt>
                <c:pt idx="51">
                  <c:v>-0.10518250000313856</c:v>
                </c:pt>
                <c:pt idx="52">
                  <c:v>-0.10561450000386685</c:v>
                </c:pt>
                <c:pt idx="54">
                  <c:v>-0.10583350000524661</c:v>
                </c:pt>
                <c:pt idx="55">
                  <c:v>-0.10486600000149338</c:v>
                </c:pt>
                <c:pt idx="56">
                  <c:v>-0.10532849999435712</c:v>
                </c:pt>
                <c:pt idx="58">
                  <c:v>-0.10523400000238325</c:v>
                </c:pt>
                <c:pt idx="59">
                  <c:v>-0.10451399999874411</c:v>
                </c:pt>
                <c:pt idx="60">
                  <c:v>-0.10404399999970337</c:v>
                </c:pt>
                <c:pt idx="61">
                  <c:v>-0.10404399999970337</c:v>
                </c:pt>
                <c:pt idx="64">
                  <c:v>-0.10189299999910872</c:v>
                </c:pt>
                <c:pt idx="65">
                  <c:v>-9.8225999994610902E-2</c:v>
                </c:pt>
                <c:pt idx="66">
                  <c:v>-9.8025999999663327E-2</c:v>
                </c:pt>
                <c:pt idx="67">
                  <c:v>-9.8025999999663327E-2</c:v>
                </c:pt>
                <c:pt idx="68">
                  <c:v>-0.12652350000280421</c:v>
                </c:pt>
                <c:pt idx="69">
                  <c:v>-9.7454500006278977E-2</c:v>
                </c:pt>
                <c:pt idx="70">
                  <c:v>-9.6783500179299153E-2</c:v>
                </c:pt>
                <c:pt idx="71">
                  <c:v>-9.5983500141301192E-2</c:v>
                </c:pt>
                <c:pt idx="72">
                  <c:v>-9.4683500021346845E-2</c:v>
                </c:pt>
                <c:pt idx="73">
                  <c:v>-9.7863499991944991E-2</c:v>
                </c:pt>
                <c:pt idx="74">
                  <c:v>-9.7163499784073792E-2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3F-45F3-955A-D94A3E48A913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51523.5</c:v>
                </c:pt>
                <c:pt idx="69">
                  <c:v>51554.5</c:v>
                </c:pt>
                <c:pt idx="70">
                  <c:v>52183.5</c:v>
                </c:pt>
                <c:pt idx="71">
                  <c:v>52183.5</c:v>
                </c:pt>
                <c:pt idx="72">
                  <c:v>52183.5</c:v>
                </c:pt>
                <c:pt idx="73">
                  <c:v>52263.5</c:v>
                </c:pt>
                <c:pt idx="74">
                  <c:v>52263.5</c:v>
                </c:pt>
              </c:numCache>
            </c:numRef>
          </c:xVal>
          <c:yVal>
            <c:numRef>
              <c:f>'Active 1'!$L$21:$L$988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43F-45F3-955A-D94A3E48A91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51523.5</c:v>
                </c:pt>
                <c:pt idx="69">
                  <c:v>51554.5</c:v>
                </c:pt>
                <c:pt idx="70">
                  <c:v>52183.5</c:v>
                </c:pt>
                <c:pt idx="71">
                  <c:v>52183.5</c:v>
                </c:pt>
                <c:pt idx="72">
                  <c:v>52183.5</c:v>
                </c:pt>
                <c:pt idx="73">
                  <c:v>52263.5</c:v>
                </c:pt>
                <c:pt idx="74">
                  <c:v>52263.5</c:v>
                </c:pt>
              </c:numCache>
            </c:numRef>
          </c:xVal>
          <c:yVal>
            <c:numRef>
              <c:f>'Active 1'!$M$21:$M$988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43F-45F3-955A-D94A3E48A91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51523.5</c:v>
                </c:pt>
                <c:pt idx="69">
                  <c:v>51554.5</c:v>
                </c:pt>
                <c:pt idx="70">
                  <c:v>52183.5</c:v>
                </c:pt>
                <c:pt idx="71">
                  <c:v>52183.5</c:v>
                </c:pt>
                <c:pt idx="72">
                  <c:v>52183.5</c:v>
                </c:pt>
                <c:pt idx="73">
                  <c:v>52263.5</c:v>
                </c:pt>
                <c:pt idx="74">
                  <c:v>52263.5</c:v>
                </c:pt>
              </c:numCache>
            </c:numRef>
          </c:xVal>
          <c:yVal>
            <c:numRef>
              <c:f>'Active 1'!$N$21:$N$988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43F-45F3-955A-D94A3E48A91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51523.5</c:v>
                </c:pt>
                <c:pt idx="69">
                  <c:v>51554.5</c:v>
                </c:pt>
                <c:pt idx="70">
                  <c:v>52183.5</c:v>
                </c:pt>
                <c:pt idx="71">
                  <c:v>52183.5</c:v>
                </c:pt>
                <c:pt idx="72">
                  <c:v>52183.5</c:v>
                </c:pt>
                <c:pt idx="73">
                  <c:v>52263.5</c:v>
                </c:pt>
                <c:pt idx="74">
                  <c:v>52263.5</c:v>
                </c:pt>
              </c:numCache>
            </c:numRef>
          </c:xVal>
          <c:yVal>
            <c:numRef>
              <c:f>'Active 1'!$O$21:$O$988</c:f>
              <c:numCache>
                <c:formatCode>General</c:formatCode>
                <c:ptCount val="968"/>
                <c:pt idx="10">
                  <c:v>-0.12066658489192283</c:v>
                </c:pt>
                <c:pt idx="11">
                  <c:v>-0.12000971810968293</c:v>
                </c:pt>
                <c:pt idx="12">
                  <c:v>-0.11610143028959503</c:v>
                </c:pt>
                <c:pt idx="13">
                  <c:v>-0.11598553989047014</c:v>
                </c:pt>
                <c:pt idx="14">
                  <c:v>-0.11598553989047014</c:v>
                </c:pt>
                <c:pt idx="15">
                  <c:v>-0.11596560674182066</c:v>
                </c:pt>
                <c:pt idx="16">
                  <c:v>-0.11594567359317118</c:v>
                </c:pt>
                <c:pt idx="17">
                  <c:v>-0.11555859966009403</c:v>
                </c:pt>
                <c:pt idx="18">
                  <c:v>-0.11545707967046062</c:v>
                </c:pt>
                <c:pt idx="19">
                  <c:v>-0.11541211419560017</c:v>
                </c:pt>
                <c:pt idx="20">
                  <c:v>-0.11541025994921417</c:v>
                </c:pt>
                <c:pt idx="21">
                  <c:v>-0.11538476406140669</c:v>
                </c:pt>
                <c:pt idx="22">
                  <c:v>-0.11535602324242372</c:v>
                </c:pt>
                <c:pt idx="23">
                  <c:v>-0.11479325946427324</c:v>
                </c:pt>
                <c:pt idx="24">
                  <c:v>-0.11463564852146338</c:v>
                </c:pt>
                <c:pt idx="25">
                  <c:v>-0.11269610680170916</c:v>
                </c:pt>
                <c:pt idx="26">
                  <c:v>-0.11268405420020018</c:v>
                </c:pt>
                <c:pt idx="27">
                  <c:v>-0.11263677091735722</c:v>
                </c:pt>
                <c:pt idx="28">
                  <c:v>-0.11215559398019068</c:v>
                </c:pt>
                <c:pt idx="29">
                  <c:v>-0.11202672385636378</c:v>
                </c:pt>
                <c:pt idx="30">
                  <c:v>-0.11202672385636378</c:v>
                </c:pt>
                <c:pt idx="31">
                  <c:v>-0.11149826363635428</c:v>
                </c:pt>
                <c:pt idx="32">
                  <c:v>-0.1113517781718604</c:v>
                </c:pt>
                <c:pt idx="33">
                  <c:v>-0.11134065269354443</c:v>
                </c:pt>
                <c:pt idx="34">
                  <c:v>-0.11134065269354443</c:v>
                </c:pt>
                <c:pt idx="35">
                  <c:v>-0.11134018913194792</c:v>
                </c:pt>
                <c:pt idx="36">
                  <c:v>-0.11072040727742799</c:v>
                </c:pt>
                <c:pt idx="37">
                  <c:v>-0.11021280732926095</c:v>
                </c:pt>
                <c:pt idx="38">
                  <c:v>-0.11017989445590949</c:v>
                </c:pt>
                <c:pt idx="39">
                  <c:v>-0.10872106611172533</c:v>
                </c:pt>
                <c:pt idx="40">
                  <c:v>-0.10872106611172533</c:v>
                </c:pt>
                <c:pt idx="41">
                  <c:v>-0.10872106611172533</c:v>
                </c:pt>
                <c:pt idx="42">
                  <c:v>-0.10872106611172533</c:v>
                </c:pt>
                <c:pt idx="43">
                  <c:v>-0.10872106611172533</c:v>
                </c:pt>
                <c:pt idx="44">
                  <c:v>-0.10872106611172533</c:v>
                </c:pt>
                <c:pt idx="45">
                  <c:v>-0.10867749132165437</c:v>
                </c:pt>
                <c:pt idx="46">
                  <c:v>-0.10867749132165437</c:v>
                </c:pt>
                <c:pt idx="47">
                  <c:v>-0.10818426178297882</c:v>
                </c:pt>
                <c:pt idx="48">
                  <c:v>-0.10814022343131137</c:v>
                </c:pt>
                <c:pt idx="49">
                  <c:v>-0.10804009412646745</c:v>
                </c:pt>
                <c:pt idx="50">
                  <c:v>-0.1067945041166731</c:v>
                </c:pt>
                <c:pt idx="51">
                  <c:v>-0.10675973699693564</c:v>
                </c:pt>
                <c:pt idx="52">
                  <c:v>-0.10673006905475967</c:v>
                </c:pt>
                <c:pt idx="53">
                  <c:v>-0.10667073317040772</c:v>
                </c:pt>
                <c:pt idx="54">
                  <c:v>-0.10606346747899328</c:v>
                </c:pt>
                <c:pt idx="55">
                  <c:v>-0.10553268945100128</c:v>
                </c:pt>
                <c:pt idx="56">
                  <c:v>-0.10551182917915879</c:v>
                </c:pt>
                <c:pt idx="57">
                  <c:v>-0.10491058978849885</c:v>
                </c:pt>
                <c:pt idx="58">
                  <c:v>-0.10476503144719798</c:v>
                </c:pt>
                <c:pt idx="59">
                  <c:v>-0.10476503144719798</c:v>
                </c:pt>
                <c:pt idx="60">
                  <c:v>-0.10476503144719798</c:v>
                </c:pt>
                <c:pt idx="61">
                  <c:v>-0.10476503144719798</c:v>
                </c:pt>
                <c:pt idx="62">
                  <c:v>-0.1040956485018526</c:v>
                </c:pt>
                <c:pt idx="63">
                  <c:v>-0.1040937942554666</c:v>
                </c:pt>
                <c:pt idx="64">
                  <c:v>-0.10350507102791213</c:v>
                </c:pt>
                <c:pt idx="65">
                  <c:v>-0.10078581870284564</c:v>
                </c:pt>
                <c:pt idx="66">
                  <c:v>-0.10078581870284564</c:v>
                </c:pt>
                <c:pt idx="67">
                  <c:v>-0.10078581870284564</c:v>
                </c:pt>
                <c:pt idx="68">
                  <c:v>-9.958287635992924E-2</c:v>
                </c:pt>
                <c:pt idx="69">
                  <c:v>-9.9554135540946276E-2</c:v>
                </c:pt>
                <c:pt idx="70">
                  <c:v>-9.8970975052549814E-2</c:v>
                </c:pt>
                <c:pt idx="71">
                  <c:v>-9.8970975052549814E-2</c:v>
                </c:pt>
                <c:pt idx="72">
                  <c:v>-9.8970975052549814E-2</c:v>
                </c:pt>
                <c:pt idx="73">
                  <c:v>-9.8896805197109888E-2</c:v>
                </c:pt>
                <c:pt idx="74">
                  <c:v>-9.8896805197109888E-2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43F-45F3-955A-D94A3E48A913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1'!$F$21:$F$988</c:f>
              <c:numCache>
                <c:formatCode>General</c:formatCode>
                <c:ptCount val="9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51523.5</c:v>
                </c:pt>
                <c:pt idx="69">
                  <c:v>51554.5</c:v>
                </c:pt>
                <c:pt idx="70">
                  <c:v>52183.5</c:v>
                </c:pt>
                <c:pt idx="71">
                  <c:v>52183.5</c:v>
                </c:pt>
                <c:pt idx="72">
                  <c:v>52183.5</c:v>
                </c:pt>
                <c:pt idx="73">
                  <c:v>52263.5</c:v>
                </c:pt>
                <c:pt idx="74">
                  <c:v>52263.5</c:v>
                </c:pt>
              </c:numCache>
            </c:numRef>
          </c:xVal>
          <c:yVal>
            <c:numRef>
              <c:f>'Active 1'!$U$21:$U$988</c:f>
              <c:numCache>
                <c:formatCode>General</c:formatCode>
                <c:ptCount val="968"/>
                <c:pt idx="37">
                  <c:v>0.11344199999439297</c:v>
                </c:pt>
                <c:pt idx="57">
                  <c:v>-0.11207699999795295</c:v>
                </c:pt>
                <c:pt idx="62">
                  <c:v>-9.835600000951672E-2</c:v>
                </c:pt>
                <c:pt idx="63">
                  <c:v>-9.6558000004733913E-2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43F-45F3-955A-D94A3E48A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2008"/>
        <c:axId val="1"/>
      </c:scatterChart>
      <c:valAx>
        <c:axId val="555342008"/>
        <c:scaling>
          <c:orientation val="minMax"/>
          <c:min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5370051635111877"/>
              <c:y val="0.849059244952871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09"/>
          <c:min val="-0.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56282271944923E-2"/>
              <c:y val="0.377359811155681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3420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519793459552494E-2"/>
          <c:y val="0.92138661912543951"/>
          <c:w val="0.8278829604130808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V0453 Mon - O-C Diagr.</a:t>
            </a:r>
          </a:p>
        </c:rich>
      </c:tx>
      <c:layout>
        <c:manualLayout>
          <c:xMode val="edge"/>
          <c:yMode val="edge"/>
          <c:x val="0.3402067267364775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4847869093423"/>
          <c:y val="0.23511007774245343"/>
          <c:w val="0.79381576496685224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1'!$H$21:$H$88</c:f>
              <c:numCache>
                <c:formatCode>General</c:formatCode>
                <c:ptCount val="68"/>
                <c:pt idx="0">
                  <c:v>-0.26441500000146334</c:v>
                </c:pt>
                <c:pt idx="1">
                  <c:v>-0.24594649999926332</c:v>
                </c:pt>
                <c:pt idx="2">
                  <c:v>-0.22981150000123307</c:v>
                </c:pt>
                <c:pt idx="3">
                  <c:v>0</c:v>
                </c:pt>
                <c:pt idx="4">
                  <c:v>-0.24650050000491319</c:v>
                </c:pt>
                <c:pt idx="5">
                  <c:v>-0.20252949999849079</c:v>
                </c:pt>
                <c:pt idx="6">
                  <c:v>-0.19029849999787984</c:v>
                </c:pt>
                <c:pt idx="7">
                  <c:v>-0.17236399999819696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CF-44A0-8815-33030B423E4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1'!$I$21:$I$88</c:f>
              <c:numCache>
                <c:formatCode>General</c:formatCode>
                <c:ptCount val="68"/>
                <c:pt idx="8">
                  <c:v>-0.11356250000244472</c:v>
                </c:pt>
                <c:pt idx="9">
                  <c:v>-7.6110000001790468E-2</c:v>
                </c:pt>
                <c:pt idx="10">
                  <c:v>-0.10928250000142725</c:v>
                </c:pt>
                <c:pt idx="11">
                  <c:v>-0.10849099999904865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CF-44A0-8815-33030B423E4C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1'!$J$21:$J$88</c:f>
              <c:numCache>
                <c:formatCode>General</c:formatCode>
                <c:ptCount val="68"/>
                <c:pt idx="12">
                  <c:v>-0.11100650000298629</c:v>
                </c:pt>
                <c:pt idx="13">
                  <c:v>-0.1127314999976079</c:v>
                </c:pt>
                <c:pt idx="14">
                  <c:v>-0.11253150000266032</c:v>
                </c:pt>
                <c:pt idx="15">
                  <c:v>-0.1121530000018538</c:v>
                </c:pt>
                <c:pt idx="16">
                  <c:v>-0.10827450000942918</c:v>
                </c:pt>
                <c:pt idx="17">
                  <c:v>-0.11149199999636039</c:v>
                </c:pt>
                <c:pt idx="18">
                  <c:v>-0.11270150000200374</c:v>
                </c:pt>
                <c:pt idx="19">
                  <c:v>-0.11215000000083819</c:v>
                </c:pt>
                <c:pt idx="20">
                  <c:v>-0.11085200000525219</c:v>
                </c:pt>
                <c:pt idx="21">
                  <c:v>-0.11297950000152923</c:v>
                </c:pt>
                <c:pt idx="22">
                  <c:v>-0.1123105000006035</c:v>
                </c:pt>
                <c:pt idx="23">
                  <c:v>-0.11401750000368338</c:v>
                </c:pt>
                <c:pt idx="24">
                  <c:v>-0.11188750000292202</c:v>
                </c:pt>
                <c:pt idx="48">
                  <c:v>-0.10729349999746773</c:v>
                </c:pt>
                <c:pt idx="53">
                  <c:v>-0.10637850000057369</c:v>
                </c:pt>
                <c:pt idx="57">
                  <c:v>-0.11207699999795295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CF-44A0-8815-33030B423E4C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1'!$F$21:$F$880</c:f>
              <c:numCache>
                <c:formatCode>General</c:formatCode>
                <c:ptCount val="860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  <c:pt idx="68">
                  <c:v>51523.5</c:v>
                </c:pt>
                <c:pt idx="69">
                  <c:v>51554.5</c:v>
                </c:pt>
                <c:pt idx="70">
                  <c:v>52183.5</c:v>
                </c:pt>
                <c:pt idx="71">
                  <c:v>52183.5</c:v>
                </c:pt>
                <c:pt idx="72">
                  <c:v>52183.5</c:v>
                </c:pt>
                <c:pt idx="73">
                  <c:v>52263.5</c:v>
                </c:pt>
                <c:pt idx="74">
                  <c:v>52263.5</c:v>
                </c:pt>
              </c:numCache>
            </c:numRef>
          </c:xVal>
          <c:yVal>
            <c:numRef>
              <c:f>'Active 1'!$K$21:$K$880</c:f>
              <c:numCache>
                <c:formatCode>General</c:formatCode>
                <c:ptCount val="860"/>
                <c:pt idx="25">
                  <c:v>-0.11397949999809498</c:v>
                </c:pt>
                <c:pt idx="26">
                  <c:v>-0.11179250000714092</c:v>
                </c:pt>
                <c:pt idx="27">
                  <c:v>-0.11324350000359118</c:v>
                </c:pt>
                <c:pt idx="28">
                  <c:v>-0.11086249999789288</c:v>
                </c:pt>
                <c:pt idx="29">
                  <c:v>-0.11310150000645081</c:v>
                </c:pt>
                <c:pt idx="30">
                  <c:v>-0.11310150000645081</c:v>
                </c:pt>
                <c:pt idx="31">
                  <c:v>-0.11157149999780813</c:v>
                </c:pt>
                <c:pt idx="32">
                  <c:v>-0.11282950000895653</c:v>
                </c:pt>
                <c:pt idx="33">
                  <c:v>-0.11244150000129594</c:v>
                </c:pt>
                <c:pt idx="34">
                  <c:v>-0.11244150000129594</c:v>
                </c:pt>
                <c:pt idx="35">
                  <c:v>-0.11304199999722186</c:v>
                </c:pt>
                <c:pt idx="36">
                  <c:v>-0.11191050000343239</c:v>
                </c:pt>
                <c:pt idx="38">
                  <c:v>-0.10689350000029663</c:v>
                </c:pt>
                <c:pt idx="39">
                  <c:v>-0.1094669999947655</c:v>
                </c:pt>
                <c:pt idx="40">
                  <c:v>-0.1094569999986561</c:v>
                </c:pt>
                <c:pt idx="41">
                  <c:v>-0.10876699999789707</c:v>
                </c:pt>
                <c:pt idx="42">
                  <c:v>-0.1087069999994128</c:v>
                </c:pt>
                <c:pt idx="43">
                  <c:v>-0.10776700000133133</c:v>
                </c:pt>
                <c:pt idx="44">
                  <c:v>-0.10774699999456061</c:v>
                </c:pt>
                <c:pt idx="45">
                  <c:v>-0.10851399999955902</c:v>
                </c:pt>
                <c:pt idx="46">
                  <c:v>-0.1084839999966789</c:v>
                </c:pt>
                <c:pt idx="47">
                  <c:v>-0.10724600000685314</c:v>
                </c:pt>
                <c:pt idx="49">
                  <c:v>-0.10870150000118883</c:v>
                </c:pt>
                <c:pt idx="50">
                  <c:v>-0.10584500000550179</c:v>
                </c:pt>
                <c:pt idx="51">
                  <c:v>-0.10518250000313856</c:v>
                </c:pt>
                <c:pt idx="52">
                  <c:v>-0.10561450000386685</c:v>
                </c:pt>
                <c:pt idx="54">
                  <c:v>-0.10583350000524661</c:v>
                </c:pt>
                <c:pt idx="55">
                  <c:v>-0.10486600000149338</c:v>
                </c:pt>
                <c:pt idx="56">
                  <c:v>-0.10532849999435712</c:v>
                </c:pt>
                <c:pt idx="58">
                  <c:v>-0.10523400000238325</c:v>
                </c:pt>
                <c:pt idx="59">
                  <c:v>-0.10451399999874411</c:v>
                </c:pt>
                <c:pt idx="60">
                  <c:v>-0.10404399999970337</c:v>
                </c:pt>
                <c:pt idx="61">
                  <c:v>-0.10404399999970337</c:v>
                </c:pt>
                <c:pt idx="64">
                  <c:v>-0.10189299999910872</c:v>
                </c:pt>
                <c:pt idx="65">
                  <c:v>-9.8225999994610902E-2</c:v>
                </c:pt>
                <c:pt idx="66">
                  <c:v>-9.8025999999663327E-2</c:v>
                </c:pt>
                <c:pt idx="67">
                  <c:v>-9.8025999999663327E-2</c:v>
                </c:pt>
                <c:pt idx="68">
                  <c:v>-0.12652350000280421</c:v>
                </c:pt>
                <c:pt idx="69">
                  <c:v>-9.7454500006278977E-2</c:v>
                </c:pt>
                <c:pt idx="70">
                  <c:v>-9.6783500179299153E-2</c:v>
                </c:pt>
                <c:pt idx="71">
                  <c:v>-9.5983500141301192E-2</c:v>
                </c:pt>
                <c:pt idx="72">
                  <c:v>-9.4683500021346845E-2</c:v>
                </c:pt>
                <c:pt idx="73">
                  <c:v>-9.7863499991944991E-2</c:v>
                </c:pt>
                <c:pt idx="74">
                  <c:v>-9.7163499784073792E-2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CF-44A0-8815-33030B423E4C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1'!$L$21:$L$88</c:f>
              <c:numCache>
                <c:formatCode>General</c:formatCode>
                <c:ptCount val="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CF-44A0-8815-33030B423E4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1'!$M$21:$M$88</c:f>
              <c:numCache>
                <c:formatCode>General</c:formatCode>
                <c:ptCount val="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CF-44A0-8815-33030B423E4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1'!$N$21:$N$88</c:f>
              <c:numCache>
                <c:formatCode>General</c:formatCode>
                <c:ptCount val="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CF-44A0-8815-33030B423E4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1'!$O$21:$O$88</c:f>
              <c:numCache>
                <c:formatCode>General</c:formatCode>
                <c:ptCount val="68"/>
                <c:pt idx="10">
                  <c:v>-0.12066658489192283</c:v>
                </c:pt>
                <c:pt idx="11">
                  <c:v>-0.12000971810968293</c:v>
                </c:pt>
                <c:pt idx="12">
                  <c:v>-0.11610143028959503</c:v>
                </c:pt>
                <c:pt idx="13">
                  <c:v>-0.11598553989047014</c:v>
                </c:pt>
                <c:pt idx="14">
                  <c:v>-0.11598553989047014</c:v>
                </c:pt>
                <c:pt idx="15">
                  <c:v>-0.11596560674182066</c:v>
                </c:pt>
                <c:pt idx="16">
                  <c:v>-0.11594567359317118</c:v>
                </c:pt>
                <c:pt idx="17">
                  <c:v>-0.11555859966009403</c:v>
                </c:pt>
                <c:pt idx="18">
                  <c:v>-0.11545707967046062</c:v>
                </c:pt>
                <c:pt idx="19">
                  <c:v>-0.11541211419560017</c:v>
                </c:pt>
                <c:pt idx="20">
                  <c:v>-0.11541025994921417</c:v>
                </c:pt>
                <c:pt idx="21">
                  <c:v>-0.11538476406140669</c:v>
                </c:pt>
                <c:pt idx="22">
                  <c:v>-0.11535602324242372</c:v>
                </c:pt>
                <c:pt idx="23">
                  <c:v>-0.11479325946427324</c:v>
                </c:pt>
                <c:pt idx="24">
                  <c:v>-0.11463564852146338</c:v>
                </c:pt>
                <c:pt idx="25">
                  <c:v>-0.11269610680170916</c:v>
                </c:pt>
                <c:pt idx="26">
                  <c:v>-0.11268405420020018</c:v>
                </c:pt>
                <c:pt idx="27">
                  <c:v>-0.11263677091735722</c:v>
                </c:pt>
                <c:pt idx="28">
                  <c:v>-0.11215559398019068</c:v>
                </c:pt>
                <c:pt idx="29">
                  <c:v>-0.11202672385636378</c:v>
                </c:pt>
                <c:pt idx="30">
                  <c:v>-0.11202672385636378</c:v>
                </c:pt>
                <c:pt idx="31">
                  <c:v>-0.11149826363635428</c:v>
                </c:pt>
                <c:pt idx="32">
                  <c:v>-0.1113517781718604</c:v>
                </c:pt>
                <c:pt idx="33">
                  <c:v>-0.11134065269354443</c:v>
                </c:pt>
                <c:pt idx="34">
                  <c:v>-0.11134065269354443</c:v>
                </c:pt>
                <c:pt idx="35">
                  <c:v>-0.11134018913194792</c:v>
                </c:pt>
                <c:pt idx="36">
                  <c:v>-0.11072040727742799</c:v>
                </c:pt>
                <c:pt idx="37">
                  <c:v>-0.11021280732926095</c:v>
                </c:pt>
                <c:pt idx="38">
                  <c:v>-0.11017989445590949</c:v>
                </c:pt>
                <c:pt idx="39">
                  <c:v>-0.10872106611172533</c:v>
                </c:pt>
                <c:pt idx="40">
                  <c:v>-0.10872106611172533</c:v>
                </c:pt>
                <c:pt idx="41">
                  <c:v>-0.10872106611172533</c:v>
                </c:pt>
                <c:pt idx="42">
                  <c:v>-0.10872106611172533</c:v>
                </c:pt>
                <c:pt idx="43">
                  <c:v>-0.10872106611172533</c:v>
                </c:pt>
                <c:pt idx="44">
                  <c:v>-0.10872106611172533</c:v>
                </c:pt>
                <c:pt idx="45">
                  <c:v>-0.10867749132165437</c:v>
                </c:pt>
                <c:pt idx="46">
                  <c:v>-0.10867749132165437</c:v>
                </c:pt>
                <c:pt idx="47">
                  <c:v>-0.10818426178297882</c:v>
                </c:pt>
                <c:pt idx="48">
                  <c:v>-0.10814022343131137</c:v>
                </c:pt>
                <c:pt idx="49">
                  <c:v>-0.10804009412646745</c:v>
                </c:pt>
                <c:pt idx="50">
                  <c:v>-0.1067945041166731</c:v>
                </c:pt>
                <c:pt idx="51">
                  <c:v>-0.10675973699693564</c:v>
                </c:pt>
                <c:pt idx="52">
                  <c:v>-0.10673006905475967</c:v>
                </c:pt>
                <c:pt idx="53">
                  <c:v>-0.10667073317040772</c:v>
                </c:pt>
                <c:pt idx="54">
                  <c:v>-0.10606346747899328</c:v>
                </c:pt>
                <c:pt idx="55">
                  <c:v>-0.10553268945100128</c:v>
                </c:pt>
                <c:pt idx="56">
                  <c:v>-0.10551182917915879</c:v>
                </c:pt>
                <c:pt idx="57">
                  <c:v>-0.10491058978849885</c:v>
                </c:pt>
                <c:pt idx="58">
                  <c:v>-0.10476503144719798</c:v>
                </c:pt>
                <c:pt idx="59">
                  <c:v>-0.10476503144719798</c:v>
                </c:pt>
                <c:pt idx="60">
                  <c:v>-0.10476503144719798</c:v>
                </c:pt>
                <c:pt idx="61">
                  <c:v>-0.10476503144719798</c:v>
                </c:pt>
                <c:pt idx="62">
                  <c:v>-0.1040956485018526</c:v>
                </c:pt>
                <c:pt idx="63">
                  <c:v>-0.1040937942554666</c:v>
                </c:pt>
                <c:pt idx="64">
                  <c:v>-0.10350507102791213</c:v>
                </c:pt>
                <c:pt idx="65">
                  <c:v>-0.10078581870284564</c:v>
                </c:pt>
                <c:pt idx="66">
                  <c:v>-0.10078581870284564</c:v>
                </c:pt>
                <c:pt idx="67">
                  <c:v>-0.10078581870284564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CF-44A0-8815-33030B423E4C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1'!$F$21:$F$88</c:f>
              <c:numCache>
                <c:formatCode>General</c:formatCode>
                <c:ptCount val="68"/>
                <c:pt idx="0">
                  <c:v>-7585</c:v>
                </c:pt>
                <c:pt idx="1">
                  <c:v>-5553.5</c:v>
                </c:pt>
                <c:pt idx="2">
                  <c:v>-2688.5</c:v>
                </c:pt>
                <c:pt idx="3">
                  <c:v>0.5</c:v>
                </c:pt>
                <c:pt idx="4">
                  <c:v>0.5</c:v>
                </c:pt>
                <c:pt idx="5">
                  <c:v>3029.5</c:v>
                </c:pt>
                <c:pt idx="6">
                  <c:v>3798.5</c:v>
                </c:pt>
                <c:pt idx="7">
                  <c:v>7364</c:v>
                </c:pt>
                <c:pt idx="8">
                  <c:v>18062.5</c:v>
                </c:pt>
                <c:pt idx="9">
                  <c:v>20110</c:v>
                </c:pt>
                <c:pt idx="10">
                  <c:v>28782.5</c:v>
                </c:pt>
                <c:pt idx="11">
                  <c:v>29491</c:v>
                </c:pt>
                <c:pt idx="12">
                  <c:v>33706.5</c:v>
                </c:pt>
                <c:pt idx="13">
                  <c:v>33831.5</c:v>
                </c:pt>
                <c:pt idx="14">
                  <c:v>33831.5</c:v>
                </c:pt>
                <c:pt idx="15">
                  <c:v>33853</c:v>
                </c:pt>
                <c:pt idx="16">
                  <c:v>33874.5</c:v>
                </c:pt>
                <c:pt idx="17">
                  <c:v>34292</c:v>
                </c:pt>
                <c:pt idx="18">
                  <c:v>34401.5</c:v>
                </c:pt>
                <c:pt idx="19">
                  <c:v>34450</c:v>
                </c:pt>
                <c:pt idx="20">
                  <c:v>34452</c:v>
                </c:pt>
                <c:pt idx="21">
                  <c:v>34479.5</c:v>
                </c:pt>
                <c:pt idx="22">
                  <c:v>34510.5</c:v>
                </c:pt>
                <c:pt idx="23">
                  <c:v>35117.5</c:v>
                </c:pt>
                <c:pt idx="24">
                  <c:v>35287.5</c:v>
                </c:pt>
                <c:pt idx="25">
                  <c:v>37379.5</c:v>
                </c:pt>
                <c:pt idx="26">
                  <c:v>37392.5</c:v>
                </c:pt>
                <c:pt idx="27">
                  <c:v>37443.5</c:v>
                </c:pt>
                <c:pt idx="28">
                  <c:v>37962.5</c:v>
                </c:pt>
                <c:pt idx="29">
                  <c:v>38101.5</c:v>
                </c:pt>
                <c:pt idx="30">
                  <c:v>38101.5</c:v>
                </c:pt>
                <c:pt idx="31">
                  <c:v>38671.5</c:v>
                </c:pt>
                <c:pt idx="32">
                  <c:v>38829.5</c:v>
                </c:pt>
                <c:pt idx="33">
                  <c:v>38841.5</c:v>
                </c:pt>
                <c:pt idx="34">
                  <c:v>38841.5</c:v>
                </c:pt>
                <c:pt idx="35">
                  <c:v>38842</c:v>
                </c:pt>
                <c:pt idx="36">
                  <c:v>39510.5</c:v>
                </c:pt>
                <c:pt idx="37">
                  <c:v>40058</c:v>
                </c:pt>
                <c:pt idx="38">
                  <c:v>40093.5</c:v>
                </c:pt>
                <c:pt idx="39">
                  <c:v>41667</c:v>
                </c:pt>
                <c:pt idx="40">
                  <c:v>41667</c:v>
                </c:pt>
                <c:pt idx="41">
                  <c:v>41667</c:v>
                </c:pt>
                <c:pt idx="42">
                  <c:v>41667</c:v>
                </c:pt>
                <c:pt idx="43">
                  <c:v>41667</c:v>
                </c:pt>
                <c:pt idx="44">
                  <c:v>41667</c:v>
                </c:pt>
                <c:pt idx="45">
                  <c:v>41714</c:v>
                </c:pt>
                <c:pt idx="46">
                  <c:v>41714</c:v>
                </c:pt>
                <c:pt idx="47">
                  <c:v>42246</c:v>
                </c:pt>
                <c:pt idx="48">
                  <c:v>42293.5</c:v>
                </c:pt>
                <c:pt idx="49">
                  <c:v>42401.5</c:v>
                </c:pt>
                <c:pt idx="50">
                  <c:v>43745</c:v>
                </c:pt>
                <c:pt idx="51">
                  <c:v>43782.5</c:v>
                </c:pt>
                <c:pt idx="52">
                  <c:v>43814.5</c:v>
                </c:pt>
                <c:pt idx="53">
                  <c:v>43878.5</c:v>
                </c:pt>
                <c:pt idx="54">
                  <c:v>44533.5</c:v>
                </c:pt>
                <c:pt idx="55">
                  <c:v>45106</c:v>
                </c:pt>
                <c:pt idx="56">
                  <c:v>45128.5</c:v>
                </c:pt>
                <c:pt idx="57">
                  <c:v>45777</c:v>
                </c:pt>
                <c:pt idx="58">
                  <c:v>45934</c:v>
                </c:pt>
                <c:pt idx="59">
                  <c:v>45934</c:v>
                </c:pt>
                <c:pt idx="60">
                  <c:v>45934</c:v>
                </c:pt>
                <c:pt idx="61">
                  <c:v>45934</c:v>
                </c:pt>
                <c:pt idx="62">
                  <c:v>46656</c:v>
                </c:pt>
                <c:pt idx="63">
                  <c:v>46658</c:v>
                </c:pt>
                <c:pt idx="64">
                  <c:v>47293</c:v>
                </c:pt>
                <c:pt idx="65">
                  <c:v>50226</c:v>
                </c:pt>
                <c:pt idx="66">
                  <c:v>50226</c:v>
                </c:pt>
                <c:pt idx="67">
                  <c:v>50226</c:v>
                </c:pt>
              </c:numCache>
            </c:numRef>
          </c:xVal>
          <c:yVal>
            <c:numRef>
              <c:f>'Active 1'!$U$21:$U$88</c:f>
              <c:numCache>
                <c:formatCode>General</c:formatCode>
                <c:ptCount val="68"/>
                <c:pt idx="37">
                  <c:v>0.11344199999439297</c:v>
                </c:pt>
                <c:pt idx="57">
                  <c:v>-0.11207699999795295</c:v>
                </c:pt>
                <c:pt idx="62">
                  <c:v>-9.835600000951672E-2</c:v>
                </c:pt>
                <c:pt idx="63">
                  <c:v>-9.6558000004733913E-2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7CF-44A0-8815-33030B423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4888"/>
        <c:axId val="1"/>
      </c:scatterChart>
      <c:valAx>
        <c:axId val="555344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46481947488521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64604810996562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3448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4022422454925"/>
          <c:y val="0.90909222554077285"/>
          <c:w val="0.82646192421823539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V453 Mon - O-C Diagr.</a:t>
            </a:r>
          </a:p>
        </c:rich>
      </c:tx>
      <c:layout>
        <c:manualLayout>
          <c:xMode val="edge"/>
          <c:yMode val="edge"/>
          <c:x val="0.3425129087779690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1480206540446"/>
          <c:y val="0.23584978088695488"/>
          <c:w val="0.80378657487091221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2'!$F$21:$F$85</c:f>
              <c:numCache>
                <c:formatCode>General</c:formatCode>
                <c:ptCount val="65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</c:numCache>
            </c:numRef>
          </c:xVal>
          <c:yVal>
            <c:numRef>
              <c:f>'Active 2'!$H$21:$H$85</c:f>
              <c:numCache>
                <c:formatCode>General</c:formatCode>
                <c:ptCount val="65"/>
                <c:pt idx="0">
                  <c:v>-1.0257400001137285E-2</c:v>
                </c:pt>
                <c:pt idx="1">
                  <c:v>1.151430000027176E-2</c:v>
                </c:pt>
                <c:pt idx="2">
                  <c:v>-5.4000000018277206E-3</c:v>
                </c:pt>
                <c:pt idx="3">
                  <c:v>0</c:v>
                </c:pt>
                <c:pt idx="4">
                  <c:v>8.9999999981955625E-3</c:v>
                </c:pt>
                <c:pt idx="5">
                  <c:v>6.9990999982110225E-3</c:v>
                </c:pt>
                <c:pt idx="6">
                  <c:v>5.2750000031664968E-4</c:v>
                </c:pt>
                <c:pt idx="7">
                  <c:v>1.4318999965325929E-3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53-4D22-ACB0-0B8D430A2322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2'!$F$21:$F$85</c:f>
              <c:numCache>
                <c:formatCode>General</c:formatCode>
                <c:ptCount val="65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</c:numCache>
            </c:numRef>
          </c:xVal>
          <c:yVal>
            <c:numRef>
              <c:f>'Active 2'!$I$21:$I$85</c:f>
              <c:numCache>
                <c:formatCode>General</c:formatCode>
                <c:ptCount val="65"/>
                <c:pt idx="8">
                  <c:v>6.0714999563060701E-4</c:v>
                </c:pt>
                <c:pt idx="9">
                  <c:v>-2.6924749996396713E-2</c:v>
                </c:pt>
                <c:pt idx="10">
                  <c:v>-6.0622399993008003E-2</c:v>
                </c:pt>
                <c:pt idx="11">
                  <c:v>-7.7955499997187871E-2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53-4D22-ACB0-0B8D430A2322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2'!$F$21:$F$85</c:f>
              <c:numCache>
                <c:formatCode>General</c:formatCode>
                <c:ptCount val="65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</c:numCache>
            </c:numRef>
          </c:xVal>
          <c:yVal>
            <c:numRef>
              <c:f>'Active 2'!$J$21:$J$85</c:f>
              <c:numCache>
                <c:formatCode>General</c:formatCode>
                <c:ptCount val="65"/>
                <c:pt idx="12">
                  <c:v>-0.1235836499981815</c:v>
                </c:pt>
                <c:pt idx="13">
                  <c:v>-0.14353655000013532</c:v>
                </c:pt>
                <c:pt idx="14">
                  <c:v>-0.14333655000518775</c:v>
                </c:pt>
                <c:pt idx="15">
                  <c:v>-0.14884134999738308</c:v>
                </c:pt>
                <c:pt idx="16">
                  <c:v>-0.15084614999796031</c:v>
                </c:pt>
                <c:pt idx="17">
                  <c:v>-0.13250179999886313</c:v>
                </c:pt>
                <c:pt idx="18">
                  <c:v>-0.17166374999942491</c:v>
                </c:pt>
                <c:pt idx="19">
                  <c:v>-0.12047454999992624</c:v>
                </c:pt>
                <c:pt idx="20">
                  <c:v>-0.1277124999978696</c:v>
                </c:pt>
                <c:pt idx="21">
                  <c:v>-0.16133115000411635</c:v>
                </c:pt>
                <c:pt idx="22">
                  <c:v>-0.12121304999891436</c:v>
                </c:pt>
                <c:pt idx="23">
                  <c:v>-0.13723599999502767</c:v>
                </c:pt>
                <c:pt idx="24">
                  <c:v>-0.17363645000295946</c:v>
                </c:pt>
                <c:pt idx="29">
                  <c:v>-0.16198934999556514</c:v>
                </c:pt>
                <c:pt idx="30">
                  <c:v>-0.16198934999556514</c:v>
                </c:pt>
                <c:pt idx="48">
                  <c:v>-0.18487474999710685</c:v>
                </c:pt>
                <c:pt idx="53">
                  <c:v>-0.2502034499993897</c:v>
                </c:pt>
                <c:pt idx="57">
                  <c:v>-0.20022704999428242</c:v>
                </c:pt>
                <c:pt idx="62">
                  <c:v>-0.33117325000057463</c:v>
                </c:pt>
                <c:pt idx="63">
                  <c:v>-0.33791119999659713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53-4D22-ACB0-0B8D430A2322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2'!$F$21:$F$85</c:f>
              <c:numCache>
                <c:formatCode>General</c:formatCode>
                <c:ptCount val="65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</c:numCache>
            </c:numRef>
          </c:xVal>
          <c:yVal>
            <c:numRef>
              <c:f>'Active 2'!$K$21:$K$85</c:f>
              <c:numCache>
                <c:formatCode>General</c:formatCode>
                <c:ptCount val="65"/>
                <c:pt idx="25">
                  <c:v>-0.1730032499981462</c:v>
                </c:pt>
                <c:pt idx="26">
                  <c:v>-5.4543600002944004E-2</c:v>
                </c:pt>
                <c:pt idx="27">
                  <c:v>-0.10190500000317115</c:v>
                </c:pt>
                <c:pt idx="28">
                  <c:v>-8.1770799995865673E-2</c:v>
                </c:pt>
                <c:pt idx="31">
                  <c:v>-0.18861654999636812</c:v>
                </c:pt>
                <c:pt idx="32">
                  <c:v>-0.17718929999682587</c:v>
                </c:pt>
                <c:pt idx="33">
                  <c:v>-0.22801700000127312</c:v>
                </c:pt>
                <c:pt idx="34">
                  <c:v>-0.22801700000127312</c:v>
                </c:pt>
                <c:pt idx="35">
                  <c:v>-0.31662964999850374</c:v>
                </c:pt>
                <c:pt idx="36">
                  <c:v>-0.16290374999516644</c:v>
                </c:pt>
                <c:pt idx="37">
                  <c:v>-0.12731350000103703</c:v>
                </c:pt>
                <c:pt idx="38">
                  <c:v>-6.9771299997228198E-2</c:v>
                </c:pt>
                <c:pt idx="39">
                  <c:v>-0.17538494999462273</c:v>
                </c:pt>
                <c:pt idx="40">
                  <c:v>-0.17537494999851333</c:v>
                </c:pt>
                <c:pt idx="41">
                  <c:v>-0.1746849499977543</c:v>
                </c:pt>
                <c:pt idx="42">
                  <c:v>-0.17462494999927003</c:v>
                </c:pt>
                <c:pt idx="43">
                  <c:v>-0.17368495000118855</c:v>
                </c:pt>
                <c:pt idx="44">
                  <c:v>-0.17366494999441784</c:v>
                </c:pt>
                <c:pt idx="45">
                  <c:v>-0.20327044999430655</c:v>
                </c:pt>
                <c:pt idx="46">
                  <c:v>-0.20324044999142643</c:v>
                </c:pt>
                <c:pt idx="47">
                  <c:v>-0.41148925000015879</c:v>
                </c:pt>
                <c:pt idx="49">
                  <c:v>-0.30371139999624575</c:v>
                </c:pt>
                <c:pt idx="50">
                  <c:v>-0.45279875000414904</c:v>
                </c:pt>
                <c:pt idx="51">
                  <c:v>-0.1827945000040927</c:v>
                </c:pt>
                <c:pt idx="52">
                  <c:v>-0.31980169999587815</c:v>
                </c:pt>
                <c:pt idx="54">
                  <c:v>-0.46883720000187168</c:v>
                </c:pt>
                <c:pt idx="55">
                  <c:v>-0.24906234999798471</c:v>
                </c:pt>
                <c:pt idx="56">
                  <c:v>-0.4314324500010116</c:v>
                </c:pt>
                <c:pt idx="58">
                  <c:v>-0.3481871499971021</c:v>
                </c:pt>
                <c:pt idx="59">
                  <c:v>-0.34746714999346295</c:v>
                </c:pt>
                <c:pt idx="60">
                  <c:v>-0.34699714999442222</c:v>
                </c:pt>
                <c:pt idx="61">
                  <c:v>-0.34699714999442222</c:v>
                </c:pt>
                <c:pt idx="64">
                  <c:v>-0.47706544999527978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E53-4D22-ACB0-0B8D430A2322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2'!$F$21:$F$85</c:f>
              <c:numCache>
                <c:formatCode>General</c:formatCode>
                <c:ptCount val="65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</c:numCache>
            </c:numRef>
          </c:xVal>
          <c:yVal>
            <c:numRef>
              <c:f>'Active 2'!$L$21:$L$85</c:f>
              <c:numCache>
                <c:formatCode>General</c:formatCode>
                <c:ptCount val="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53-4D22-ACB0-0B8D430A2322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2'!$F$21:$F$85</c:f>
              <c:numCache>
                <c:formatCode>General</c:formatCode>
                <c:ptCount val="65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</c:numCache>
            </c:numRef>
          </c:xVal>
          <c:yVal>
            <c:numRef>
              <c:f>'Active 2'!$M$21:$M$85</c:f>
              <c:numCache>
                <c:formatCode>General</c:formatCode>
                <c:ptCount val="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E53-4D22-ACB0-0B8D430A2322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2'!$F$21:$F$85</c:f>
              <c:numCache>
                <c:formatCode>General</c:formatCode>
                <c:ptCount val="65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</c:numCache>
            </c:numRef>
          </c:xVal>
          <c:yVal>
            <c:numRef>
              <c:f>'Active 2'!$N$21:$N$85</c:f>
              <c:numCache>
                <c:formatCode>General</c:formatCode>
                <c:ptCount val="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E53-4D22-ACB0-0B8D430A2322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2'!$F$21:$F$85</c:f>
              <c:numCache>
                <c:formatCode>General</c:formatCode>
                <c:ptCount val="65"/>
                <c:pt idx="0">
                  <c:v>-5642</c:v>
                </c:pt>
                <c:pt idx="1">
                  <c:v>-4131</c:v>
                </c:pt>
                <c:pt idx="2">
                  <c:v>-2000</c:v>
                </c:pt>
                <c:pt idx="3">
                  <c:v>0</c:v>
                </c:pt>
                <c:pt idx="4">
                  <c:v>0</c:v>
                </c:pt>
                <c:pt idx="5">
                  <c:v>2253</c:v>
                </c:pt>
                <c:pt idx="6">
                  <c:v>2825</c:v>
                </c:pt>
                <c:pt idx="7">
                  <c:v>5477</c:v>
                </c:pt>
                <c:pt idx="8">
                  <c:v>13434.5</c:v>
                </c:pt>
                <c:pt idx="9">
                  <c:v>14957.5</c:v>
                </c:pt>
                <c:pt idx="10">
                  <c:v>21408</c:v>
                </c:pt>
                <c:pt idx="11">
                  <c:v>21935</c:v>
                </c:pt>
                <c:pt idx="12">
                  <c:v>25070.5</c:v>
                </c:pt>
                <c:pt idx="13">
                  <c:v>25163.5</c:v>
                </c:pt>
                <c:pt idx="14">
                  <c:v>25163.5</c:v>
                </c:pt>
                <c:pt idx="15">
                  <c:v>25179.5</c:v>
                </c:pt>
                <c:pt idx="16">
                  <c:v>25195.5</c:v>
                </c:pt>
                <c:pt idx="17">
                  <c:v>25506</c:v>
                </c:pt>
                <c:pt idx="18">
                  <c:v>25587.5</c:v>
                </c:pt>
                <c:pt idx="19">
                  <c:v>25623.5</c:v>
                </c:pt>
                <c:pt idx="20">
                  <c:v>25625</c:v>
                </c:pt>
                <c:pt idx="21">
                  <c:v>25645.5</c:v>
                </c:pt>
                <c:pt idx="22">
                  <c:v>25668.5</c:v>
                </c:pt>
                <c:pt idx="23">
                  <c:v>26120</c:v>
                </c:pt>
                <c:pt idx="24">
                  <c:v>26246.5</c:v>
                </c:pt>
                <c:pt idx="25">
                  <c:v>27802.5</c:v>
                </c:pt>
                <c:pt idx="26">
                  <c:v>27812</c:v>
                </c:pt>
                <c:pt idx="27">
                  <c:v>27850</c:v>
                </c:pt>
                <c:pt idx="28">
                  <c:v>28236</c:v>
                </c:pt>
                <c:pt idx="29">
                  <c:v>28339.5</c:v>
                </c:pt>
                <c:pt idx="30">
                  <c:v>28339.5</c:v>
                </c:pt>
                <c:pt idx="31">
                  <c:v>28763.5</c:v>
                </c:pt>
                <c:pt idx="32">
                  <c:v>28881</c:v>
                </c:pt>
                <c:pt idx="33">
                  <c:v>28890</c:v>
                </c:pt>
                <c:pt idx="34">
                  <c:v>28890</c:v>
                </c:pt>
                <c:pt idx="35">
                  <c:v>28890.5</c:v>
                </c:pt>
                <c:pt idx="36">
                  <c:v>29387.5</c:v>
                </c:pt>
                <c:pt idx="37">
                  <c:v>29795</c:v>
                </c:pt>
                <c:pt idx="38">
                  <c:v>29821</c:v>
                </c:pt>
                <c:pt idx="39">
                  <c:v>30991.5</c:v>
                </c:pt>
                <c:pt idx="40">
                  <c:v>30991.5</c:v>
                </c:pt>
                <c:pt idx="41">
                  <c:v>30991.5</c:v>
                </c:pt>
                <c:pt idx="42">
                  <c:v>30991.5</c:v>
                </c:pt>
                <c:pt idx="43">
                  <c:v>30991.5</c:v>
                </c:pt>
                <c:pt idx="44">
                  <c:v>30991.5</c:v>
                </c:pt>
                <c:pt idx="45">
                  <c:v>31026.5</c:v>
                </c:pt>
                <c:pt idx="46">
                  <c:v>31026.5</c:v>
                </c:pt>
                <c:pt idx="47">
                  <c:v>31422.5</c:v>
                </c:pt>
                <c:pt idx="48">
                  <c:v>31457.5</c:v>
                </c:pt>
                <c:pt idx="49">
                  <c:v>31538</c:v>
                </c:pt>
                <c:pt idx="50">
                  <c:v>32537.5</c:v>
                </c:pt>
                <c:pt idx="51">
                  <c:v>32565</c:v>
                </c:pt>
                <c:pt idx="52">
                  <c:v>32589</c:v>
                </c:pt>
                <c:pt idx="53">
                  <c:v>32636.5</c:v>
                </c:pt>
                <c:pt idx="54">
                  <c:v>33124</c:v>
                </c:pt>
                <c:pt idx="55">
                  <c:v>33549.5</c:v>
                </c:pt>
                <c:pt idx="56">
                  <c:v>33566.5</c:v>
                </c:pt>
                <c:pt idx="57">
                  <c:v>34048.5</c:v>
                </c:pt>
                <c:pt idx="58">
                  <c:v>34165.5</c:v>
                </c:pt>
                <c:pt idx="59">
                  <c:v>34165.5</c:v>
                </c:pt>
                <c:pt idx="60">
                  <c:v>34165.5</c:v>
                </c:pt>
                <c:pt idx="61">
                  <c:v>34165.5</c:v>
                </c:pt>
                <c:pt idx="62">
                  <c:v>34702.5</c:v>
                </c:pt>
                <c:pt idx="63">
                  <c:v>34704</c:v>
                </c:pt>
                <c:pt idx="64">
                  <c:v>35176.5</c:v>
                </c:pt>
              </c:numCache>
            </c:numRef>
          </c:xVal>
          <c:yVal>
            <c:numRef>
              <c:f>'Active 2'!$O$21:$O$85</c:f>
              <c:numCache>
                <c:formatCode>General</c:formatCode>
                <c:ptCount val="65"/>
                <c:pt idx="10">
                  <c:v>-9.8165337583263623E-3</c:v>
                </c:pt>
                <c:pt idx="11">
                  <c:v>-2.3129479050555068E-2</c:v>
                </c:pt>
                <c:pt idx="12">
                  <c:v>-0.10233771427594984</c:v>
                </c:pt>
                <c:pt idx="13">
                  <c:v>-0.10468705756281371</c:v>
                </c:pt>
                <c:pt idx="14">
                  <c:v>-0.10468705756281371</c:v>
                </c:pt>
                <c:pt idx="15">
                  <c:v>-0.10509124565517747</c:v>
                </c:pt>
                <c:pt idx="16">
                  <c:v>-0.10549543374754111</c:v>
                </c:pt>
                <c:pt idx="17">
                  <c:v>-0.11333920891497373</c:v>
                </c:pt>
                <c:pt idx="18">
                  <c:v>-0.11539804201045123</c:v>
                </c:pt>
                <c:pt idx="19">
                  <c:v>-0.11630746521826951</c:v>
                </c:pt>
                <c:pt idx="20">
                  <c:v>-0.11634535785192868</c:v>
                </c:pt>
                <c:pt idx="21">
                  <c:v>-0.11686322384526959</c:v>
                </c:pt>
                <c:pt idx="22">
                  <c:v>-0.11744424422804245</c:v>
                </c:pt>
                <c:pt idx="23">
                  <c:v>-0.12884992695942998</c:v>
                </c:pt>
                <c:pt idx="24">
                  <c:v>-0.13204553906468031</c:v>
                </c:pt>
                <c:pt idx="25">
                  <c:v>-0.17135283104704813</c:v>
                </c:pt>
                <c:pt idx="26">
                  <c:v>-0.17159281772688906</c:v>
                </c:pt>
                <c:pt idx="27">
                  <c:v>-0.17255276444625289</c:v>
                </c:pt>
                <c:pt idx="28">
                  <c:v>-0.18230380217452657</c:v>
                </c:pt>
                <c:pt idx="29">
                  <c:v>-0.18491839389700415</c:v>
                </c:pt>
                <c:pt idx="30">
                  <c:v>-0.18491839389700415</c:v>
                </c:pt>
                <c:pt idx="31">
                  <c:v>-0.19562937834464167</c:v>
                </c:pt>
                <c:pt idx="32">
                  <c:v>-0.19859763464793745</c:v>
                </c:pt>
                <c:pt idx="33">
                  <c:v>-0.19882499044989199</c:v>
                </c:pt>
                <c:pt idx="34">
                  <c:v>-0.19882499044989199</c:v>
                </c:pt>
                <c:pt idx="35">
                  <c:v>-0.19883762132777838</c:v>
                </c:pt>
                <c:pt idx="36">
                  <c:v>-0.21139271394682524</c:v>
                </c:pt>
                <c:pt idx="37">
                  <c:v>-0.22168687942421261</c:v>
                </c:pt>
                <c:pt idx="38">
                  <c:v>-0.22234368507430369</c:v>
                </c:pt>
                <c:pt idx="39">
                  <c:v>-0.2519125702062841</c:v>
                </c:pt>
                <c:pt idx="40">
                  <c:v>-0.2519125702062841</c:v>
                </c:pt>
                <c:pt idx="41">
                  <c:v>-0.2519125702062841</c:v>
                </c:pt>
                <c:pt idx="42">
                  <c:v>-0.2519125702062841</c:v>
                </c:pt>
                <c:pt idx="43">
                  <c:v>-0.2519125702062841</c:v>
                </c:pt>
                <c:pt idx="44">
                  <c:v>-0.2519125702062841</c:v>
                </c:pt>
                <c:pt idx="45">
                  <c:v>-0.25279673165832961</c:v>
                </c:pt>
                <c:pt idx="46">
                  <c:v>-0.25279673165832961</c:v>
                </c:pt>
                <c:pt idx="47">
                  <c:v>-0.26280038694433072</c:v>
                </c:pt>
                <c:pt idx="48">
                  <c:v>-0.26368454839637623</c:v>
                </c:pt>
                <c:pt idx="49">
                  <c:v>-0.26571811973608106</c:v>
                </c:pt>
                <c:pt idx="50">
                  <c:v>-0.2909672446309246</c:v>
                </c:pt>
                <c:pt idx="51">
                  <c:v>-0.29166194291467473</c:v>
                </c:pt>
                <c:pt idx="52">
                  <c:v>-0.29226822505322025</c:v>
                </c:pt>
                <c:pt idx="53">
                  <c:v>-0.29346815845242491</c:v>
                </c:pt>
                <c:pt idx="54">
                  <c:v>-0.30578326439163073</c:v>
                </c:pt>
                <c:pt idx="55">
                  <c:v>-0.31653214147292741</c:v>
                </c:pt>
                <c:pt idx="56">
                  <c:v>-0.31696159132106383</c:v>
                </c:pt>
                <c:pt idx="57">
                  <c:v>-0.3291377576035196</c:v>
                </c:pt>
                <c:pt idx="58">
                  <c:v>-0.33209338302892899</c:v>
                </c:pt>
                <c:pt idx="59">
                  <c:v>-0.33209338302892899</c:v>
                </c:pt>
                <c:pt idx="60">
                  <c:v>-0.33209338302892899</c:v>
                </c:pt>
                <c:pt idx="61">
                  <c:v>-0.33209338302892899</c:v>
                </c:pt>
                <c:pt idx="62">
                  <c:v>-0.34565894587888502</c:v>
                </c:pt>
                <c:pt idx="63">
                  <c:v>-0.34569683851254418</c:v>
                </c:pt>
                <c:pt idx="64">
                  <c:v>-0.35763301811515902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E53-4D22-ACB0-0B8D430A2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345968"/>
        <c:axId val="1"/>
      </c:scatterChart>
      <c:valAx>
        <c:axId val="555345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46643717728057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56282271944923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3459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51118760757316"/>
          <c:y val="0.9088076726258274"/>
          <c:w val="0.72117039586919107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15</xdr:col>
      <xdr:colOff>495300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76A16A8-3738-8EAC-C783-DEF8887D2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171450</xdr:colOff>
      <xdr:row>0</xdr:row>
      <xdr:rowOff>66675</xdr:rowOff>
    </xdr:from>
    <xdr:to>
      <xdr:col>24</xdr:col>
      <xdr:colOff>257175</xdr:colOff>
      <xdr:row>18</xdr:row>
      <xdr:rowOff>95250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E4C599EB-7B33-960B-AF92-6184C62E6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15</xdr:col>
      <xdr:colOff>495300</xdr:colOff>
      <xdr:row>18</xdr:row>
      <xdr:rowOff>19050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B4BA6549-9B9F-68EB-B37E-9A487BD3FB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17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konkoly.hu/cgi-bin/IBVS?5583" TargetMode="External"/><Relationship Id="rId26" Type="http://schemas.openxmlformats.org/officeDocument/2006/relationships/hyperlink" Target="http://www.bav-astro.de/sfs/BAVM_link.php?BAVMnr=59" TargetMode="External"/><Relationship Id="rId39" Type="http://schemas.openxmlformats.org/officeDocument/2006/relationships/hyperlink" Target="http://www.bav-astro.de/sfs/BAVM_link.php?BAVMnr=225" TargetMode="External"/><Relationship Id="rId3" Type="http://schemas.openxmlformats.org/officeDocument/2006/relationships/hyperlink" Target="http://www.bav-astro.de/sfs/BAVM_link.php?BAVMnr=102" TargetMode="External"/><Relationship Id="rId21" Type="http://schemas.openxmlformats.org/officeDocument/2006/relationships/hyperlink" Target="http://www.konkoly.hu/cgi-bin/IBVS?5992" TargetMode="External"/><Relationship Id="rId34" Type="http://schemas.openxmlformats.org/officeDocument/2006/relationships/hyperlink" Target="http://var.astro.cz/oejv/issues/oejv0094.pdf" TargetMode="External"/><Relationship Id="rId42" Type="http://schemas.openxmlformats.org/officeDocument/2006/relationships/hyperlink" Target="http://www.bav-astro.de/sfs/BAVM_link.php?BAVMnr=241" TargetMode="External"/><Relationship Id="rId7" Type="http://schemas.openxmlformats.org/officeDocument/2006/relationships/hyperlink" Target="http://www.bav-astro.de/sfs/BAVM_link.php?BAVMnr=117" TargetMode="External"/><Relationship Id="rId12" Type="http://schemas.openxmlformats.org/officeDocument/2006/relationships/hyperlink" Target="http://www.bav-astro.de/sfs/BAVM_link.php?BAVMnr=128" TargetMode="External"/><Relationship Id="rId17" Type="http://schemas.openxmlformats.org/officeDocument/2006/relationships/hyperlink" Target="http://www.konkoly.hu/cgi-bin/IBVS?5676" TargetMode="External"/><Relationship Id="rId25" Type="http://schemas.openxmlformats.org/officeDocument/2006/relationships/hyperlink" Target="http://www.bav-astro.de/sfs/BAVM_link.php?BAVMnr=56" TargetMode="External"/><Relationship Id="rId33" Type="http://schemas.openxmlformats.org/officeDocument/2006/relationships/hyperlink" Target="http://var.astro.cz/oejv/issues/oejv0094.pdf" TargetMode="External"/><Relationship Id="rId38" Type="http://schemas.openxmlformats.org/officeDocument/2006/relationships/hyperlink" Target="http://vsolj.cetus-net.org/vsoljno53.pdf" TargetMode="External"/><Relationship Id="rId2" Type="http://schemas.openxmlformats.org/officeDocument/2006/relationships/hyperlink" Target="http://www.bav-astro.de/sfs/BAVM_link.php?BAVMnr=102" TargetMode="External"/><Relationship Id="rId16" Type="http://schemas.openxmlformats.org/officeDocument/2006/relationships/hyperlink" Target="http://www.konkoly.hu/cgi-bin/IBVS?5676" TargetMode="External"/><Relationship Id="rId20" Type="http://schemas.openxmlformats.org/officeDocument/2006/relationships/hyperlink" Target="http://www.konkoly.hu/cgi-bin/IBVS?5894" TargetMode="External"/><Relationship Id="rId29" Type="http://schemas.openxmlformats.org/officeDocument/2006/relationships/hyperlink" Target="http://vsolj.cetus-net.org/no40.pdf" TargetMode="External"/><Relationship Id="rId41" Type="http://schemas.openxmlformats.org/officeDocument/2006/relationships/hyperlink" Target="http://vsolj.cetus-net.org/vsoljno55.pdf" TargetMode="External"/><Relationship Id="rId1" Type="http://schemas.openxmlformats.org/officeDocument/2006/relationships/hyperlink" Target="http://www.bav-astro.de/sfs/BAVM_link.php?BAVMnr=102" TargetMode="External"/><Relationship Id="rId6" Type="http://schemas.openxmlformats.org/officeDocument/2006/relationships/hyperlink" Target="http://www.bav-astro.de/sfs/BAVM_link.php?BAVMnr=117" TargetMode="External"/><Relationship Id="rId11" Type="http://schemas.openxmlformats.org/officeDocument/2006/relationships/hyperlink" Target="http://www.bav-astro.de/sfs/BAVM_link.php?BAVMnr=117" TargetMode="External"/><Relationship Id="rId24" Type="http://schemas.openxmlformats.org/officeDocument/2006/relationships/hyperlink" Target="http://www.bav-astro.de/sfs/BAVM_link.php?BAVMnr=234" TargetMode="External"/><Relationship Id="rId32" Type="http://schemas.openxmlformats.org/officeDocument/2006/relationships/hyperlink" Target="http://vsolj.cetus-net.org/no44.pdf" TargetMode="External"/><Relationship Id="rId37" Type="http://schemas.openxmlformats.org/officeDocument/2006/relationships/hyperlink" Target="http://vsolj.cetus-net.org/no48.pdf" TargetMode="External"/><Relationship Id="rId40" Type="http://schemas.openxmlformats.org/officeDocument/2006/relationships/hyperlink" Target="http://vsolj.cetus-net.org/vsoljno55.pdf" TargetMode="External"/><Relationship Id="rId5" Type="http://schemas.openxmlformats.org/officeDocument/2006/relationships/hyperlink" Target="http://www.bav-astro.de/sfs/BAVM_link.php?BAVMnr=117" TargetMode="External"/><Relationship Id="rId15" Type="http://schemas.openxmlformats.org/officeDocument/2006/relationships/hyperlink" Target="http://www.bav-astro.de/sfs/BAVM_link.php?BAVMnr=172" TargetMode="External"/><Relationship Id="rId23" Type="http://schemas.openxmlformats.org/officeDocument/2006/relationships/hyperlink" Target="http://var.astro.cz/oejv/issues/oejv0160.pdf" TargetMode="External"/><Relationship Id="rId28" Type="http://schemas.openxmlformats.org/officeDocument/2006/relationships/hyperlink" Target="http://vsolj.cetus-net.org/no40.pdf" TargetMode="External"/><Relationship Id="rId36" Type="http://schemas.openxmlformats.org/officeDocument/2006/relationships/hyperlink" Target="http://var.astro.cz/oejv/issues/oejv0094.pdf" TargetMode="External"/><Relationship Id="rId10" Type="http://schemas.openxmlformats.org/officeDocument/2006/relationships/hyperlink" Target="http://www.bav-astro.de/sfs/BAVM_link.php?BAVMnr=117" TargetMode="External"/><Relationship Id="rId19" Type="http://schemas.openxmlformats.org/officeDocument/2006/relationships/hyperlink" Target="http://www.bav-astro.de/sfs/BAVM_link.php?BAVMnr=209" TargetMode="External"/><Relationship Id="rId31" Type="http://schemas.openxmlformats.org/officeDocument/2006/relationships/hyperlink" Target="http://www.bav-astro.de/sfs/BAVM_link.php?BAVMnr=178" TargetMode="External"/><Relationship Id="rId4" Type="http://schemas.openxmlformats.org/officeDocument/2006/relationships/hyperlink" Target="http://www.bav-astro.de/sfs/BAVM_link.php?BAVMnr=102" TargetMode="External"/><Relationship Id="rId9" Type="http://schemas.openxmlformats.org/officeDocument/2006/relationships/hyperlink" Target="http://www.bav-astro.de/sfs/BAVM_link.php?BAVMnr=117" TargetMode="External"/><Relationship Id="rId14" Type="http://schemas.openxmlformats.org/officeDocument/2006/relationships/hyperlink" Target="http://www.bav-astro.de/sfs/BAVM_link.php?BAVMnr=178" TargetMode="External"/><Relationship Id="rId22" Type="http://schemas.openxmlformats.org/officeDocument/2006/relationships/hyperlink" Target="http://www.bav-astro.de/sfs/BAVM_link.php?BAVMnr=220" TargetMode="External"/><Relationship Id="rId27" Type="http://schemas.openxmlformats.org/officeDocument/2006/relationships/hyperlink" Target="http://vsolj.cetus-net.org/no40.pdf" TargetMode="External"/><Relationship Id="rId30" Type="http://schemas.openxmlformats.org/officeDocument/2006/relationships/hyperlink" Target="http://www.konkoly.hu/cgi-bin/IBVS?5741" TargetMode="External"/><Relationship Id="rId35" Type="http://schemas.openxmlformats.org/officeDocument/2006/relationships/hyperlink" Target="http://var.astro.cz/oejv/issues/oejv0094.pdf" TargetMode="External"/><Relationship Id="rId43" Type="http://schemas.openxmlformats.org/officeDocument/2006/relationships/hyperlink" Target="http://www.bav-astro.de/sfs/BAVM_link.php?BAVMnr=2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E95"/>
  <sheetViews>
    <sheetView tabSelected="1" workbookViewId="0">
      <pane xSplit="14" ySplit="22" topLeftCell="O80" activePane="bottomRight" state="frozen"/>
      <selection pane="topRight" activeCell="O1" sqref="O1"/>
      <selection pane="bottomLeft" activeCell="A23" sqref="A23"/>
      <selection pane="bottomRight" activeCell="E11" sqref="E10:E11"/>
    </sheetView>
  </sheetViews>
  <sheetFormatPr defaultColWidth="10.28515625" defaultRowHeight="12.95" customHeight="1"/>
  <cols>
    <col min="1" max="1" width="14.42578125" style="25" customWidth="1"/>
    <col min="2" max="2" width="5.140625" style="25" customWidth="1"/>
    <col min="3" max="3" width="11.85546875" style="25" customWidth="1"/>
    <col min="4" max="4" width="9.42578125" style="25" customWidth="1"/>
    <col min="5" max="5" width="9.85546875" style="25" customWidth="1"/>
    <col min="6" max="6" width="16.85546875" style="25" customWidth="1"/>
    <col min="7" max="7" width="8.140625" style="25" customWidth="1"/>
    <col min="8" max="14" width="8.5703125" style="25" customWidth="1"/>
    <col min="15" max="15" width="8" style="25" customWidth="1"/>
    <col min="16" max="16" width="7.7109375" style="25" customWidth="1"/>
    <col min="17" max="17" width="9.85546875" style="27" customWidth="1"/>
    <col min="18" max="16384" width="10.28515625" style="25"/>
  </cols>
  <sheetData>
    <row r="1" spans="1:17" s="1" customFormat="1" ht="20.25">
      <c r="A1" s="2" t="s">
        <v>0</v>
      </c>
      <c r="Q1" s="22"/>
    </row>
    <row r="2" spans="1:17" ht="12.95" customHeight="1">
      <c r="A2" s="25" t="s">
        <v>1</v>
      </c>
      <c r="B2" s="26" t="s">
        <v>2</v>
      </c>
    </row>
    <row r="4" spans="1:17" ht="12.95" customHeight="1">
      <c r="A4" s="28" t="s">
        <v>3</v>
      </c>
      <c r="C4" s="29">
        <v>33220.504000000001</v>
      </c>
      <c r="D4" s="30">
        <v>0.68702529999999995</v>
      </c>
    </row>
    <row r="5" spans="1:17" ht="12.95" customHeight="1">
      <c r="A5" s="31" t="s">
        <v>4</v>
      </c>
      <c r="C5" s="32">
        <v>-9.5</v>
      </c>
      <c r="D5" s="25" t="s">
        <v>5</v>
      </c>
    </row>
    <row r="6" spans="1:17" ht="12.95" customHeight="1">
      <c r="A6" s="28" t="s">
        <v>6</v>
      </c>
    </row>
    <row r="7" spans="1:17" ht="12.95" customHeight="1">
      <c r="A7" s="25" t="s">
        <v>7</v>
      </c>
      <c r="C7" s="25">
        <f>+C4</f>
        <v>33220.504000000001</v>
      </c>
    </row>
    <row r="8" spans="1:17" ht="12.95" customHeight="1">
      <c r="A8" s="25" t="s">
        <v>8</v>
      </c>
      <c r="C8" s="25">
        <v>0.51100100000000004</v>
      </c>
      <c r="D8" s="32" t="s">
        <v>9</v>
      </c>
    </row>
    <row r="9" spans="1:17" ht="12.95" customHeight="1">
      <c r="A9" s="33" t="s">
        <v>10</v>
      </c>
      <c r="B9" s="34">
        <v>46</v>
      </c>
      <c r="C9" s="35" t="str">
        <f>"F"&amp;B9</f>
        <v>F46</v>
      </c>
      <c r="D9" s="36" t="str">
        <f>"G"&amp;B9</f>
        <v>G46</v>
      </c>
    </row>
    <row r="10" spans="1:17" ht="12.95" customHeight="1">
      <c r="C10" s="37" t="s">
        <v>11</v>
      </c>
      <c r="D10" s="37" t="s">
        <v>12</v>
      </c>
    </row>
    <row r="11" spans="1:17" ht="12.95" customHeight="1">
      <c r="A11" s="25" t="s">
        <v>13</v>
      </c>
      <c r="C11" s="36">
        <f ca="1">INTERCEPT(INDIRECT($D$9):G990,INDIRECT($C$9):F990)</f>
        <v>-0.14735150819442075</v>
      </c>
      <c r="D11" s="38"/>
    </row>
    <row r="12" spans="1:17" ht="12.95" customHeight="1">
      <c r="A12" s="25" t="s">
        <v>14</v>
      </c>
      <c r="C12" s="36">
        <f ca="1">SLOPE(INDIRECT($D$9):G990,INDIRECT($C$9):F990)</f>
        <v>9.2712319299914603E-7</v>
      </c>
      <c r="D12" s="38"/>
    </row>
    <row r="13" spans="1:17" ht="12.95" customHeight="1">
      <c r="A13" s="25" t="s">
        <v>15</v>
      </c>
      <c r="C13" s="38" t="s">
        <v>16</v>
      </c>
    </row>
    <row r="15" spans="1:17" ht="12.95" customHeight="1">
      <c r="A15" s="28" t="s">
        <v>17</v>
      </c>
      <c r="C15" s="39">
        <f ca="1">(C7+C11)+(C8+C12)*INT(MAX(F21:F3531))</f>
        <v>59926.850365731239</v>
      </c>
      <c r="E15" s="33" t="s">
        <v>18</v>
      </c>
      <c r="F15" s="32">
        <v>1</v>
      </c>
    </row>
    <row r="16" spans="1:17" ht="12.95" customHeight="1">
      <c r="A16" s="28" t="s">
        <v>19</v>
      </c>
      <c r="C16" s="39">
        <f ca="1">+C8+C12</f>
        <v>0.51100192712319303</v>
      </c>
      <c r="E16" s="33" t="s">
        <v>20</v>
      </c>
      <c r="F16" s="36">
        <f ca="1">NOW()+15018.5+$C$5/24</f>
        <v>60312.782457986112</v>
      </c>
    </row>
    <row r="17" spans="1:31" ht="12.95" customHeight="1">
      <c r="A17" s="33" t="s">
        <v>21</v>
      </c>
      <c r="C17" s="25">
        <f>COUNT(C21:C2189)</f>
        <v>75</v>
      </c>
      <c r="E17" s="33" t="s">
        <v>22</v>
      </c>
      <c r="F17" s="36">
        <f ca="1">ROUND(2*(F16-$C$7)/$C$8,0)/2+F15</f>
        <v>53019</v>
      </c>
    </row>
    <row r="18" spans="1:31" ht="12.95" customHeight="1">
      <c r="A18" s="28" t="s">
        <v>23</v>
      </c>
      <c r="C18" s="29">
        <f ca="1">+C15</f>
        <v>59926.850365731239</v>
      </c>
      <c r="D18" s="30">
        <f ca="1">+C16</f>
        <v>0.51100192712319303</v>
      </c>
      <c r="E18" s="33" t="s">
        <v>24</v>
      </c>
      <c r="F18" s="36">
        <f ca="1">ROUND(2*(F16-$C$15)/$C$16,0)/2+F15</f>
        <v>756</v>
      </c>
    </row>
    <row r="19" spans="1:31" ht="12.95" customHeight="1">
      <c r="E19" s="33" t="s">
        <v>25</v>
      </c>
      <c r="F19" s="40">
        <f ca="1">+$C$15+$C$16*F18-15018.5-$C$5/24</f>
        <v>45295.063655969709</v>
      </c>
    </row>
    <row r="20" spans="1:31" ht="12.95" customHeight="1">
      <c r="A20" s="37" t="s">
        <v>26</v>
      </c>
      <c r="B20" s="37" t="s">
        <v>27</v>
      </c>
      <c r="C20" s="37" t="s">
        <v>28</v>
      </c>
      <c r="D20" s="37" t="s">
        <v>29</v>
      </c>
      <c r="E20" s="37" t="s">
        <v>30</v>
      </c>
      <c r="F20" s="37" t="s">
        <v>31</v>
      </c>
      <c r="G20" s="37" t="s">
        <v>32</v>
      </c>
      <c r="H20" s="41" t="s">
        <v>33</v>
      </c>
      <c r="I20" s="41" t="s">
        <v>34</v>
      </c>
      <c r="J20" s="41" t="s">
        <v>35</v>
      </c>
      <c r="K20" s="41" t="s">
        <v>36</v>
      </c>
      <c r="L20" s="41" t="s">
        <v>37</v>
      </c>
      <c r="M20" s="41" t="s">
        <v>38</v>
      </c>
      <c r="N20" s="41" t="s">
        <v>39</v>
      </c>
      <c r="O20" s="41" t="s">
        <v>40</v>
      </c>
      <c r="P20" s="41" t="s">
        <v>41</v>
      </c>
      <c r="Q20" s="42" t="s">
        <v>42</v>
      </c>
      <c r="U20" s="43" t="s">
        <v>43</v>
      </c>
    </row>
    <row r="21" spans="1:31" ht="12.95" customHeight="1">
      <c r="A21" s="44" t="s">
        <v>44</v>
      </c>
      <c r="B21" s="45" t="s">
        <v>45</v>
      </c>
      <c r="C21" s="44">
        <v>29344.296999999999</v>
      </c>
      <c r="D21" s="5"/>
      <c r="E21" s="25">
        <f t="shared" ref="E21:E52" si="0">+(C21-C$7)/C$8</f>
        <v>-7585.5174451713438</v>
      </c>
      <c r="F21" s="46">
        <f t="shared" ref="F21:F28" si="1">ROUND(2*E21,0)/2+0.5</f>
        <v>-7585</v>
      </c>
      <c r="G21" s="25">
        <f>+C21-(C$7+F21*C$8)</f>
        <v>-0.26441500000146334</v>
      </c>
      <c r="H21" s="25">
        <f>+G21</f>
        <v>-0.26441500000146334</v>
      </c>
      <c r="Q21" s="27">
        <f t="shared" ref="Q21:Q52" si="2">+C21-15018.5</f>
        <v>14325.796999999999</v>
      </c>
    </row>
    <row r="22" spans="1:31" ht="12.95" customHeight="1">
      <c r="A22" s="44" t="s">
        <v>44</v>
      </c>
      <c r="B22" s="45" t="s">
        <v>45</v>
      </c>
      <c r="C22" s="44">
        <v>30382.414000000001</v>
      </c>
      <c r="D22" s="5"/>
      <c r="E22" s="25">
        <f t="shared" si="0"/>
        <v>-5553.9813033633982</v>
      </c>
      <c r="F22" s="46">
        <f t="shared" si="1"/>
        <v>-5553.5</v>
      </c>
      <c r="G22" s="25">
        <f>+C22-(C$7+F22*C$8)</f>
        <v>-0.24594649999926332</v>
      </c>
      <c r="H22" s="25">
        <f>+G22</f>
        <v>-0.24594649999926332</v>
      </c>
      <c r="Q22" s="27">
        <f t="shared" si="2"/>
        <v>15363.914000000001</v>
      </c>
    </row>
    <row r="23" spans="1:31" ht="12.95" customHeight="1">
      <c r="A23" s="44" t="s">
        <v>44</v>
      </c>
      <c r="B23" s="45" t="s">
        <v>45</v>
      </c>
      <c r="C23" s="44">
        <v>31846.448</v>
      </c>
      <c r="E23" s="25">
        <f t="shared" si="0"/>
        <v>-2688.9497280827245</v>
      </c>
      <c r="F23" s="46">
        <f t="shared" si="1"/>
        <v>-2688.5</v>
      </c>
      <c r="G23" s="25">
        <f>+C23-(C$7+F23*C$8)</f>
        <v>-0.22981150000123307</v>
      </c>
      <c r="H23" s="25">
        <f>+G23</f>
        <v>-0.22981150000123307</v>
      </c>
      <c r="Q23" s="27">
        <f t="shared" si="2"/>
        <v>16827.948</v>
      </c>
    </row>
    <row r="24" spans="1:31" ht="12.95" customHeight="1">
      <c r="A24" s="25" t="s">
        <v>46</v>
      </c>
      <c r="C24" s="47">
        <v>33220.504000000001</v>
      </c>
      <c r="D24" s="38" t="s">
        <v>16</v>
      </c>
      <c r="E24" s="25">
        <f t="shared" si="0"/>
        <v>0</v>
      </c>
      <c r="F24" s="46">
        <f t="shared" si="1"/>
        <v>0.5</v>
      </c>
      <c r="H24" s="25">
        <v>0</v>
      </c>
      <c r="Q24" s="27">
        <f t="shared" si="2"/>
        <v>18202.004000000001</v>
      </c>
    </row>
    <row r="25" spans="1:31" ht="12.95" customHeight="1">
      <c r="A25" s="44" t="s">
        <v>44</v>
      </c>
      <c r="B25" s="45" t="s">
        <v>45</v>
      </c>
      <c r="C25" s="44">
        <v>33220.512999999999</v>
      </c>
      <c r="E25" s="25">
        <f t="shared" si="0"/>
        <v>1.761248999159603E-2</v>
      </c>
      <c r="F25" s="46">
        <f t="shared" si="1"/>
        <v>0.5</v>
      </c>
      <c r="G25" s="25">
        <f t="shared" ref="G25:G57" si="3">+C25-(C$7+F25*C$8)</f>
        <v>-0.24650050000491319</v>
      </c>
      <c r="H25" s="25">
        <f>+G25</f>
        <v>-0.24650050000491319</v>
      </c>
      <c r="Q25" s="27">
        <f t="shared" si="2"/>
        <v>18202.012999999999</v>
      </c>
    </row>
    <row r="26" spans="1:31" ht="12.95" customHeight="1">
      <c r="A26" s="44" t="s">
        <v>44</v>
      </c>
      <c r="B26" s="45" t="s">
        <v>45</v>
      </c>
      <c r="C26" s="44">
        <v>34768.379000000001</v>
      </c>
      <c r="E26" s="25">
        <f t="shared" si="0"/>
        <v>3029.1036612452813</v>
      </c>
      <c r="F26" s="46">
        <f t="shared" si="1"/>
        <v>3029.5</v>
      </c>
      <c r="G26" s="25">
        <f t="shared" si="3"/>
        <v>-0.20252949999849079</v>
      </c>
      <c r="H26" s="25">
        <f>+G26</f>
        <v>-0.20252949999849079</v>
      </c>
      <c r="Q26" s="27">
        <f t="shared" si="2"/>
        <v>19749.879000000001</v>
      </c>
    </row>
    <row r="27" spans="1:31" ht="12.95" customHeight="1">
      <c r="A27" s="44" t="s">
        <v>44</v>
      </c>
      <c r="B27" s="45" t="s">
        <v>45</v>
      </c>
      <c r="C27" s="44">
        <v>35161.351000000002</v>
      </c>
      <c r="E27" s="25">
        <f t="shared" si="0"/>
        <v>3798.1275966191874</v>
      </c>
      <c r="F27" s="46">
        <f t="shared" si="1"/>
        <v>3798.5</v>
      </c>
      <c r="G27" s="25">
        <f t="shared" si="3"/>
        <v>-0.19029849999787984</v>
      </c>
      <c r="H27" s="25">
        <f>+G27</f>
        <v>-0.19029849999787984</v>
      </c>
      <c r="Q27" s="27">
        <f t="shared" si="2"/>
        <v>20142.851000000002</v>
      </c>
    </row>
    <row r="28" spans="1:31" ht="12.95" customHeight="1">
      <c r="A28" s="44" t="s">
        <v>44</v>
      </c>
      <c r="B28" s="45" t="s">
        <v>45</v>
      </c>
      <c r="C28" s="44">
        <v>36983.343000000001</v>
      </c>
      <c r="E28" s="25">
        <f t="shared" si="0"/>
        <v>7363.6626934193864</v>
      </c>
      <c r="F28" s="46">
        <f t="shared" si="1"/>
        <v>7364</v>
      </c>
      <c r="G28" s="25">
        <f t="shared" si="3"/>
        <v>-0.17236399999819696</v>
      </c>
      <c r="H28" s="25">
        <f>+G28</f>
        <v>-0.17236399999819696</v>
      </c>
      <c r="Q28" s="27">
        <f t="shared" si="2"/>
        <v>21964.843000000001</v>
      </c>
    </row>
    <row r="29" spans="1:31" ht="12.95" customHeight="1">
      <c r="A29" s="25" t="s">
        <v>47</v>
      </c>
      <c r="C29" s="48">
        <v>42450.345999999998</v>
      </c>
      <c r="D29" s="47"/>
      <c r="E29" s="25">
        <f t="shared" si="0"/>
        <v>18062.277764622762</v>
      </c>
      <c r="F29" s="25">
        <f t="shared" ref="F29:F60" si="4">ROUND(2*E29,0)/2</f>
        <v>18062.5</v>
      </c>
      <c r="G29" s="25">
        <f t="shared" si="3"/>
        <v>-0.11356250000244472</v>
      </c>
      <c r="I29" s="25">
        <f>+G29</f>
        <v>-0.11356250000244472</v>
      </c>
      <c r="Q29" s="27">
        <f t="shared" si="2"/>
        <v>27431.845999999998</v>
      </c>
      <c r="AB29" s="25">
        <v>9</v>
      </c>
      <c r="AC29" s="25" t="s">
        <v>48</v>
      </c>
      <c r="AE29" s="25" t="s">
        <v>49</v>
      </c>
    </row>
    <row r="30" spans="1:31" ht="12.95" customHeight="1">
      <c r="A30" s="25" t="s">
        <v>50</v>
      </c>
      <c r="C30" s="48">
        <v>43496.658000000003</v>
      </c>
      <c r="D30" s="47"/>
      <c r="E30" s="25">
        <f t="shared" si="0"/>
        <v>20109.851057042943</v>
      </c>
      <c r="F30" s="25">
        <f t="shared" si="4"/>
        <v>20110</v>
      </c>
      <c r="G30" s="25">
        <f t="shared" si="3"/>
        <v>-7.6110000001790468E-2</v>
      </c>
      <c r="I30" s="25">
        <f>+G30</f>
        <v>-7.6110000001790468E-2</v>
      </c>
      <c r="Q30" s="27">
        <f t="shared" si="2"/>
        <v>28478.158000000003</v>
      </c>
      <c r="AB30" s="25">
        <v>6</v>
      </c>
      <c r="AC30" s="25" t="s">
        <v>48</v>
      </c>
      <c r="AE30" s="25" t="s">
        <v>49</v>
      </c>
    </row>
    <row r="31" spans="1:31" ht="12.95" customHeight="1">
      <c r="A31" s="44" t="s">
        <v>51</v>
      </c>
      <c r="B31" s="45" t="s">
        <v>45</v>
      </c>
      <c r="C31" s="44">
        <v>47928.281000000003</v>
      </c>
      <c r="E31" s="25">
        <f t="shared" si="0"/>
        <v>28782.286140340235</v>
      </c>
      <c r="F31" s="25">
        <f t="shared" si="4"/>
        <v>28782.5</v>
      </c>
      <c r="G31" s="25">
        <f t="shared" si="3"/>
        <v>-0.10928250000142725</v>
      </c>
      <c r="I31" s="25">
        <f>+G31</f>
        <v>-0.10928250000142725</v>
      </c>
      <c r="O31" s="25">
        <f t="shared" ref="O31:O62" ca="1" si="5">+C$11+C$12*$F31</f>
        <v>-0.12066658489192283</v>
      </c>
      <c r="Q31" s="27">
        <f t="shared" si="2"/>
        <v>32909.781000000003</v>
      </c>
    </row>
    <row r="32" spans="1:31" ht="12.95" customHeight="1">
      <c r="A32" s="44" t="s">
        <v>52</v>
      </c>
      <c r="B32" s="45" t="s">
        <v>45</v>
      </c>
      <c r="C32" s="44">
        <v>48290.326000000001</v>
      </c>
      <c r="E32" s="25">
        <f t="shared" si="0"/>
        <v>29490.78768926088</v>
      </c>
      <c r="F32" s="25">
        <f t="shared" si="4"/>
        <v>29491</v>
      </c>
      <c r="G32" s="25">
        <f t="shared" si="3"/>
        <v>-0.10849099999904865</v>
      </c>
      <c r="I32" s="25">
        <f>+G32</f>
        <v>-0.10849099999904865</v>
      </c>
      <c r="O32" s="25">
        <f t="shared" ca="1" si="5"/>
        <v>-0.12000971810968293</v>
      </c>
      <c r="Q32" s="27">
        <f t="shared" si="2"/>
        <v>33271.826000000001</v>
      </c>
    </row>
    <row r="33" spans="1:17" ht="12.95" customHeight="1">
      <c r="A33" s="25" t="s">
        <v>53</v>
      </c>
      <c r="B33" s="49" t="s">
        <v>54</v>
      </c>
      <c r="C33" s="50">
        <v>50444.448199999999</v>
      </c>
      <c r="D33" s="50">
        <v>8.0000000000000004E-4</v>
      </c>
      <c r="E33" s="25">
        <f t="shared" si="0"/>
        <v>33706.282766569922</v>
      </c>
      <c r="F33" s="25">
        <f t="shared" si="4"/>
        <v>33706.5</v>
      </c>
      <c r="G33" s="25">
        <f t="shared" si="3"/>
        <v>-0.11100650000298629</v>
      </c>
      <c r="J33" s="25">
        <f t="shared" ref="J33:J45" si="6">+G33</f>
        <v>-0.11100650000298629</v>
      </c>
      <c r="O33" s="25">
        <f t="shared" ca="1" si="5"/>
        <v>-0.11610143028959503</v>
      </c>
      <c r="Q33" s="27">
        <f t="shared" si="2"/>
        <v>35425.948199999999</v>
      </c>
    </row>
    <row r="34" spans="1:17" ht="12.95" customHeight="1">
      <c r="A34" s="25" t="s">
        <v>55</v>
      </c>
      <c r="B34" s="38" t="s">
        <v>54</v>
      </c>
      <c r="C34" s="47">
        <v>50508.321600000003</v>
      </c>
      <c r="D34" s="47">
        <v>1.1000000000000001E-3</v>
      </c>
      <c r="E34" s="25">
        <f t="shared" si="0"/>
        <v>33831.279390842683</v>
      </c>
      <c r="F34" s="25">
        <f t="shared" si="4"/>
        <v>33831.5</v>
      </c>
      <c r="G34" s="25">
        <f t="shared" si="3"/>
        <v>-0.1127314999976079</v>
      </c>
      <c r="J34" s="25">
        <f t="shared" si="6"/>
        <v>-0.1127314999976079</v>
      </c>
      <c r="O34" s="25">
        <f t="shared" ca="1" si="5"/>
        <v>-0.11598553989047014</v>
      </c>
      <c r="Q34" s="27">
        <f t="shared" si="2"/>
        <v>35489.821600000003</v>
      </c>
    </row>
    <row r="35" spans="1:17" ht="12.95" customHeight="1">
      <c r="A35" s="25" t="s">
        <v>53</v>
      </c>
      <c r="B35" s="49" t="s">
        <v>54</v>
      </c>
      <c r="C35" s="50">
        <v>50508.321799999998</v>
      </c>
      <c r="D35" s="50">
        <v>1.9E-3</v>
      </c>
      <c r="E35" s="25">
        <f t="shared" si="0"/>
        <v>33831.279782231337</v>
      </c>
      <c r="F35" s="25">
        <f t="shared" si="4"/>
        <v>33831.5</v>
      </c>
      <c r="G35" s="25">
        <f t="shared" si="3"/>
        <v>-0.11253150000266032</v>
      </c>
      <c r="J35" s="25">
        <f t="shared" si="6"/>
        <v>-0.11253150000266032</v>
      </c>
      <c r="O35" s="25">
        <f t="shared" ca="1" si="5"/>
        <v>-0.11598553989047014</v>
      </c>
      <c r="Q35" s="27">
        <f t="shared" si="2"/>
        <v>35489.821799999998</v>
      </c>
    </row>
    <row r="36" spans="1:17" ht="12.95" customHeight="1">
      <c r="A36" s="25" t="s">
        <v>53</v>
      </c>
      <c r="B36" s="49" t="s">
        <v>54</v>
      </c>
      <c r="C36" s="50">
        <v>50519.308700000001</v>
      </c>
      <c r="D36" s="50">
        <v>1.1999999999999999E-3</v>
      </c>
      <c r="E36" s="25">
        <f t="shared" si="0"/>
        <v>33852.780522934394</v>
      </c>
      <c r="F36" s="25">
        <f t="shared" si="4"/>
        <v>33853</v>
      </c>
      <c r="G36" s="25">
        <f t="shared" si="3"/>
        <v>-0.1121530000018538</v>
      </c>
      <c r="J36" s="25">
        <f t="shared" si="6"/>
        <v>-0.1121530000018538</v>
      </c>
      <c r="O36" s="25">
        <f t="shared" ca="1" si="5"/>
        <v>-0.11596560674182066</v>
      </c>
      <c r="Q36" s="27">
        <f t="shared" si="2"/>
        <v>35500.808700000001</v>
      </c>
    </row>
    <row r="37" spans="1:17" ht="12.95" customHeight="1">
      <c r="A37" s="25" t="s">
        <v>53</v>
      </c>
      <c r="B37" s="49" t="s">
        <v>54</v>
      </c>
      <c r="C37" s="50">
        <v>50530.299099999997</v>
      </c>
      <c r="D37" s="50">
        <v>2.3999999999999998E-3</v>
      </c>
      <c r="E37" s="25">
        <f t="shared" si="0"/>
        <v>33874.288112939103</v>
      </c>
      <c r="F37" s="25">
        <f t="shared" si="4"/>
        <v>33874.5</v>
      </c>
      <c r="G37" s="25">
        <f t="shared" si="3"/>
        <v>-0.10827450000942918</v>
      </c>
      <c r="J37" s="25">
        <f t="shared" si="6"/>
        <v>-0.10827450000942918</v>
      </c>
      <c r="O37" s="25">
        <f t="shared" ca="1" si="5"/>
        <v>-0.11594567359317118</v>
      </c>
      <c r="Q37" s="27">
        <f t="shared" si="2"/>
        <v>35511.799099999997</v>
      </c>
    </row>
    <row r="38" spans="1:17" ht="12.95" customHeight="1">
      <c r="A38" s="25" t="s">
        <v>55</v>
      </c>
      <c r="B38" s="51"/>
      <c r="C38" s="47">
        <v>50743.638800000001</v>
      </c>
      <c r="D38" s="47">
        <v>1.1000000000000001E-3</v>
      </c>
      <c r="E38" s="25">
        <f t="shared" si="0"/>
        <v>34291.781816473936</v>
      </c>
      <c r="F38" s="25">
        <f t="shared" si="4"/>
        <v>34292</v>
      </c>
      <c r="G38" s="25">
        <f t="shared" si="3"/>
        <v>-0.11149199999636039</v>
      </c>
      <c r="J38" s="25">
        <f t="shared" si="6"/>
        <v>-0.11149199999636039</v>
      </c>
      <c r="O38" s="25">
        <f t="shared" ca="1" si="5"/>
        <v>-0.11555859966009403</v>
      </c>
      <c r="Q38" s="27">
        <f t="shared" si="2"/>
        <v>35725.138800000001</v>
      </c>
    </row>
    <row r="39" spans="1:17" ht="12.95" customHeight="1">
      <c r="A39" s="25" t="s">
        <v>55</v>
      </c>
      <c r="B39" s="38" t="s">
        <v>54</v>
      </c>
      <c r="C39" s="47">
        <v>50799.592199999999</v>
      </c>
      <c r="D39" s="47">
        <v>5.0000000000000001E-4</v>
      </c>
      <c r="E39" s="25">
        <f t="shared" si="0"/>
        <v>34401.279449550973</v>
      </c>
      <c r="F39" s="25">
        <f t="shared" si="4"/>
        <v>34401.5</v>
      </c>
      <c r="G39" s="25">
        <f t="shared" si="3"/>
        <v>-0.11270150000200374</v>
      </c>
      <c r="J39" s="25">
        <f t="shared" si="6"/>
        <v>-0.11270150000200374</v>
      </c>
      <c r="O39" s="25">
        <f t="shared" ca="1" si="5"/>
        <v>-0.11545707967046062</v>
      </c>
      <c r="Q39" s="27">
        <f t="shared" si="2"/>
        <v>35781.092199999999</v>
      </c>
    </row>
    <row r="40" spans="1:17" ht="12.95" customHeight="1">
      <c r="A40" s="25" t="s">
        <v>55</v>
      </c>
      <c r="B40" s="38" t="s">
        <v>54</v>
      </c>
      <c r="C40" s="47">
        <v>50824.376300000004</v>
      </c>
      <c r="D40" s="47">
        <v>4.0000000000000002E-4</v>
      </c>
      <c r="E40" s="25">
        <f t="shared" si="0"/>
        <v>34449.780528805233</v>
      </c>
      <c r="F40" s="25">
        <f t="shared" si="4"/>
        <v>34450</v>
      </c>
      <c r="G40" s="25">
        <f t="shared" si="3"/>
        <v>-0.11215000000083819</v>
      </c>
      <c r="J40" s="25">
        <f t="shared" si="6"/>
        <v>-0.11215000000083819</v>
      </c>
      <c r="O40" s="25">
        <f t="shared" ca="1" si="5"/>
        <v>-0.11541211419560017</v>
      </c>
      <c r="Q40" s="27">
        <f t="shared" si="2"/>
        <v>35805.876300000004</v>
      </c>
    </row>
    <row r="41" spans="1:17" ht="12.95" customHeight="1">
      <c r="A41" s="25" t="s">
        <v>55</v>
      </c>
      <c r="B41" s="51"/>
      <c r="C41" s="47">
        <v>50825.399599999997</v>
      </c>
      <c r="D41" s="47">
        <v>2.9999999999999997E-4</v>
      </c>
      <c r="E41" s="25">
        <f t="shared" si="0"/>
        <v>34451.783068917663</v>
      </c>
      <c r="F41" s="25">
        <f t="shared" si="4"/>
        <v>34452</v>
      </c>
      <c r="G41" s="25">
        <f t="shared" si="3"/>
        <v>-0.11085200000525219</v>
      </c>
      <c r="J41" s="25">
        <f t="shared" si="6"/>
        <v>-0.11085200000525219</v>
      </c>
      <c r="O41" s="25">
        <f t="shared" ca="1" si="5"/>
        <v>-0.11541025994921417</v>
      </c>
      <c r="Q41" s="27">
        <f t="shared" si="2"/>
        <v>35806.899599999997</v>
      </c>
    </row>
    <row r="42" spans="1:17" ht="12.95" customHeight="1">
      <c r="A42" s="25" t="s">
        <v>55</v>
      </c>
      <c r="B42" s="38" t="s">
        <v>54</v>
      </c>
      <c r="C42" s="47">
        <v>50839.45</v>
      </c>
      <c r="D42" s="47">
        <v>2.0000000000000001E-4</v>
      </c>
      <c r="E42" s="25">
        <f t="shared" si="0"/>
        <v>34479.278905520725</v>
      </c>
      <c r="F42" s="25">
        <f t="shared" si="4"/>
        <v>34479.5</v>
      </c>
      <c r="G42" s="25">
        <f t="shared" si="3"/>
        <v>-0.11297950000152923</v>
      </c>
      <c r="J42" s="25">
        <f t="shared" si="6"/>
        <v>-0.11297950000152923</v>
      </c>
      <c r="O42" s="25">
        <f t="shared" ca="1" si="5"/>
        <v>-0.11538476406140669</v>
      </c>
      <c r="Q42" s="27">
        <f t="shared" si="2"/>
        <v>35820.949999999997</v>
      </c>
    </row>
    <row r="43" spans="1:17" ht="12.95" customHeight="1">
      <c r="A43" s="5" t="s">
        <v>55</v>
      </c>
      <c r="B43" s="7" t="s">
        <v>54</v>
      </c>
      <c r="C43" s="6">
        <v>50855.291700000002</v>
      </c>
      <c r="D43" s="6">
        <v>2.0000000000000001E-4</v>
      </c>
      <c r="E43" s="25">
        <f t="shared" si="0"/>
        <v>34510.280214715822</v>
      </c>
      <c r="F43" s="25">
        <f t="shared" si="4"/>
        <v>34510.5</v>
      </c>
      <c r="G43" s="25">
        <f t="shared" si="3"/>
        <v>-0.1123105000006035</v>
      </c>
      <c r="J43" s="25">
        <f t="shared" si="6"/>
        <v>-0.1123105000006035</v>
      </c>
      <c r="O43" s="25">
        <f t="shared" ca="1" si="5"/>
        <v>-0.11535602324242372</v>
      </c>
      <c r="Q43" s="27">
        <f t="shared" si="2"/>
        <v>35836.791700000002</v>
      </c>
    </row>
    <row r="44" spans="1:17" ht="12.95" customHeight="1">
      <c r="A44" s="5" t="s">
        <v>55</v>
      </c>
      <c r="B44" s="52"/>
      <c r="C44" s="6">
        <v>51165.467600000004</v>
      </c>
      <c r="D44" s="6">
        <v>1E-4</v>
      </c>
      <c r="E44" s="25">
        <f t="shared" si="0"/>
        <v>35117.276874213559</v>
      </c>
      <c r="F44" s="25">
        <f t="shared" si="4"/>
        <v>35117.5</v>
      </c>
      <c r="G44" s="25">
        <f t="shared" si="3"/>
        <v>-0.11401750000368338</v>
      </c>
      <c r="J44" s="25">
        <f t="shared" si="6"/>
        <v>-0.11401750000368338</v>
      </c>
      <c r="O44" s="25">
        <f t="shared" ca="1" si="5"/>
        <v>-0.11479325946427324</v>
      </c>
      <c r="Q44" s="27">
        <f t="shared" si="2"/>
        <v>36146.967600000004</v>
      </c>
    </row>
    <row r="45" spans="1:17" ht="12.95" customHeight="1">
      <c r="A45" s="5" t="s">
        <v>56</v>
      </c>
      <c r="B45" s="5"/>
      <c r="C45" s="6">
        <v>51252.339899999999</v>
      </c>
      <c r="D45" s="6">
        <v>2.0000000000000001E-4</v>
      </c>
      <c r="E45" s="25">
        <f t="shared" si="0"/>
        <v>35287.281042502844</v>
      </c>
      <c r="F45" s="25">
        <f t="shared" si="4"/>
        <v>35287.5</v>
      </c>
      <c r="G45" s="25">
        <f t="shared" si="3"/>
        <v>-0.11188750000292202</v>
      </c>
      <c r="J45" s="25">
        <f t="shared" si="6"/>
        <v>-0.11188750000292202</v>
      </c>
      <c r="O45" s="25">
        <f t="shared" ca="1" si="5"/>
        <v>-0.11463564852146338</v>
      </c>
      <c r="Q45" s="27">
        <f t="shared" si="2"/>
        <v>36233.839899999999</v>
      </c>
    </row>
    <row r="46" spans="1:17" ht="12.95" customHeight="1">
      <c r="A46" s="6" t="s">
        <v>57</v>
      </c>
      <c r="B46" s="7" t="s">
        <v>45</v>
      </c>
      <c r="C46" s="6">
        <v>52321.351900000001</v>
      </c>
      <c r="D46" s="6" t="s">
        <v>58</v>
      </c>
      <c r="E46" s="25">
        <f t="shared" si="0"/>
        <v>37379.276948577397</v>
      </c>
      <c r="F46" s="25">
        <f t="shared" si="4"/>
        <v>37379.5</v>
      </c>
      <c r="G46" s="25">
        <f t="shared" si="3"/>
        <v>-0.11397949999809498</v>
      </c>
      <c r="K46" s="25">
        <f t="shared" ref="K46:K57" si="7">+G46</f>
        <v>-0.11397949999809498</v>
      </c>
      <c r="O46" s="25">
        <f t="shared" ca="1" si="5"/>
        <v>-0.11269610680170916</v>
      </c>
      <c r="Q46" s="27">
        <f t="shared" si="2"/>
        <v>37302.851900000001</v>
      </c>
    </row>
    <row r="47" spans="1:17" ht="12.95" customHeight="1">
      <c r="A47" s="44" t="s">
        <v>59</v>
      </c>
      <c r="B47" s="45" t="s">
        <v>45</v>
      </c>
      <c r="C47" s="44">
        <v>52327.997100000001</v>
      </c>
      <c r="E47" s="25">
        <f t="shared" si="0"/>
        <v>37392.281228412467</v>
      </c>
      <c r="F47" s="25">
        <f t="shared" si="4"/>
        <v>37392.5</v>
      </c>
      <c r="G47" s="25">
        <f t="shared" si="3"/>
        <v>-0.11179250000714092</v>
      </c>
      <c r="K47" s="25">
        <f t="shared" si="7"/>
        <v>-0.11179250000714092</v>
      </c>
      <c r="O47" s="25">
        <f t="shared" ca="1" si="5"/>
        <v>-0.11268405420020018</v>
      </c>
      <c r="Q47" s="27">
        <f t="shared" si="2"/>
        <v>37309.497100000001</v>
      </c>
    </row>
    <row r="48" spans="1:17" ht="12.95" customHeight="1">
      <c r="A48" s="44" t="s">
        <v>59</v>
      </c>
      <c r="B48" s="45" t="s">
        <v>45</v>
      </c>
      <c r="C48" s="44">
        <v>52354.056700000001</v>
      </c>
      <c r="E48" s="25">
        <f t="shared" si="0"/>
        <v>37443.278388887687</v>
      </c>
      <c r="F48" s="25">
        <f t="shared" si="4"/>
        <v>37443.5</v>
      </c>
      <c r="G48" s="25">
        <f t="shared" si="3"/>
        <v>-0.11324350000359118</v>
      </c>
      <c r="K48" s="25">
        <f t="shared" si="7"/>
        <v>-0.11324350000359118</v>
      </c>
      <c r="O48" s="25">
        <f t="shared" ca="1" si="5"/>
        <v>-0.11263677091735722</v>
      </c>
      <c r="Q48" s="27">
        <f t="shared" si="2"/>
        <v>37335.556700000001</v>
      </c>
    </row>
    <row r="49" spans="1:21" ht="12.95" customHeight="1">
      <c r="A49" s="44" t="s">
        <v>59</v>
      </c>
      <c r="B49" s="45" t="s">
        <v>45</v>
      </c>
      <c r="C49" s="44">
        <v>52619.268600000003</v>
      </c>
      <c r="E49" s="25">
        <f t="shared" si="0"/>
        <v>37962.283048369769</v>
      </c>
      <c r="F49" s="25">
        <f t="shared" si="4"/>
        <v>37962.5</v>
      </c>
      <c r="G49" s="25">
        <f t="shared" si="3"/>
        <v>-0.11086249999789288</v>
      </c>
      <c r="K49" s="25">
        <f t="shared" si="7"/>
        <v>-0.11086249999789288</v>
      </c>
      <c r="O49" s="25">
        <f t="shared" ca="1" si="5"/>
        <v>-0.11215559398019068</v>
      </c>
      <c r="Q49" s="27">
        <f t="shared" si="2"/>
        <v>37600.768600000003</v>
      </c>
    </row>
    <row r="50" spans="1:21" ht="12.95" customHeight="1">
      <c r="A50" s="5" t="s">
        <v>60</v>
      </c>
      <c r="B50" s="7" t="s">
        <v>54</v>
      </c>
      <c r="C50" s="6">
        <v>52690.2955</v>
      </c>
      <c r="D50" s="6">
        <v>1E-4</v>
      </c>
      <c r="E50" s="25">
        <f t="shared" si="0"/>
        <v>38101.278666773644</v>
      </c>
      <c r="F50" s="25">
        <f t="shared" si="4"/>
        <v>38101.5</v>
      </c>
      <c r="G50" s="25">
        <f t="shared" si="3"/>
        <v>-0.11310150000645081</v>
      </c>
      <c r="K50" s="25">
        <f t="shared" si="7"/>
        <v>-0.11310150000645081</v>
      </c>
      <c r="O50" s="25">
        <f t="shared" ca="1" si="5"/>
        <v>-0.11202672385636378</v>
      </c>
      <c r="Q50" s="27">
        <f t="shared" si="2"/>
        <v>37671.7955</v>
      </c>
    </row>
    <row r="51" spans="1:21" ht="12.95" customHeight="1">
      <c r="A51" s="5" t="s">
        <v>61</v>
      </c>
      <c r="B51" s="7" t="s">
        <v>54</v>
      </c>
      <c r="C51" s="6">
        <v>52690.2955</v>
      </c>
      <c r="D51" s="6">
        <v>1E-4</v>
      </c>
      <c r="E51" s="25">
        <f t="shared" si="0"/>
        <v>38101.278666773644</v>
      </c>
      <c r="F51" s="25">
        <f t="shared" si="4"/>
        <v>38101.5</v>
      </c>
      <c r="G51" s="25">
        <f t="shared" si="3"/>
        <v>-0.11310150000645081</v>
      </c>
      <c r="K51" s="25">
        <f t="shared" si="7"/>
        <v>-0.11310150000645081</v>
      </c>
      <c r="O51" s="25">
        <f t="shared" ca="1" si="5"/>
        <v>-0.11202672385636378</v>
      </c>
      <c r="Q51" s="27">
        <f t="shared" si="2"/>
        <v>37671.7955</v>
      </c>
    </row>
    <row r="52" spans="1:21" ht="12.95" customHeight="1">
      <c r="A52" s="8" t="s">
        <v>62</v>
      </c>
      <c r="B52" s="9" t="s">
        <v>45</v>
      </c>
      <c r="C52" s="8">
        <v>52981.567600000002</v>
      </c>
      <c r="D52" s="8">
        <v>1E-4</v>
      </c>
      <c r="E52" s="25">
        <f t="shared" si="0"/>
        <v>38671.281660896944</v>
      </c>
      <c r="F52" s="25">
        <f t="shared" si="4"/>
        <v>38671.5</v>
      </c>
      <c r="G52" s="25">
        <f t="shared" si="3"/>
        <v>-0.11157149999780813</v>
      </c>
      <c r="K52" s="25">
        <f t="shared" si="7"/>
        <v>-0.11157149999780813</v>
      </c>
      <c r="O52" s="25">
        <f t="shared" ca="1" si="5"/>
        <v>-0.11149826363635428</v>
      </c>
      <c r="Q52" s="27">
        <f t="shared" si="2"/>
        <v>37963.067600000002</v>
      </c>
    </row>
    <row r="53" spans="1:21" ht="12.95" customHeight="1">
      <c r="A53" s="6" t="s">
        <v>62</v>
      </c>
      <c r="B53" s="7" t="s">
        <v>45</v>
      </c>
      <c r="C53" s="6">
        <v>53062.304499999998</v>
      </c>
      <c r="D53" s="6">
        <v>1E-4</v>
      </c>
      <c r="E53" s="25">
        <f t="shared" ref="E53:E84" si="8">+(C53-C$7)/C$8</f>
        <v>38829.279199062228</v>
      </c>
      <c r="F53" s="25">
        <f t="shared" si="4"/>
        <v>38829.5</v>
      </c>
      <c r="G53" s="25">
        <f t="shared" si="3"/>
        <v>-0.11282950000895653</v>
      </c>
      <c r="K53" s="25">
        <f t="shared" si="7"/>
        <v>-0.11282950000895653</v>
      </c>
      <c r="O53" s="25">
        <f t="shared" ca="1" si="5"/>
        <v>-0.1113517781718604</v>
      </c>
      <c r="Q53" s="27">
        <f t="shared" ref="Q53:Q84" si="9">+C53-15018.5</f>
        <v>38043.804499999998</v>
      </c>
    </row>
    <row r="54" spans="1:21" ht="12.95" customHeight="1">
      <c r="A54" s="8" t="s">
        <v>63</v>
      </c>
      <c r="B54" s="9" t="s">
        <v>64</v>
      </c>
      <c r="C54" s="8">
        <v>53068.436900000001</v>
      </c>
      <c r="D54" s="8">
        <v>6.9999999999999999E-4</v>
      </c>
      <c r="E54" s="25">
        <f t="shared" si="8"/>
        <v>38841.279958356245</v>
      </c>
      <c r="F54" s="25">
        <f t="shared" si="4"/>
        <v>38841.5</v>
      </c>
      <c r="G54" s="25">
        <f t="shared" si="3"/>
        <v>-0.11244150000129594</v>
      </c>
      <c r="K54" s="25">
        <f t="shared" si="7"/>
        <v>-0.11244150000129594</v>
      </c>
      <c r="O54" s="25">
        <f t="shared" ca="1" si="5"/>
        <v>-0.11134065269354443</v>
      </c>
      <c r="Q54" s="27">
        <f t="shared" si="9"/>
        <v>38049.936900000001</v>
      </c>
    </row>
    <row r="55" spans="1:21" ht="12.95" customHeight="1">
      <c r="A55" s="8" t="s">
        <v>63</v>
      </c>
      <c r="B55" s="9" t="s">
        <v>64</v>
      </c>
      <c r="C55" s="8">
        <v>53068.436900000001</v>
      </c>
      <c r="D55" s="8">
        <v>6.9999999999999999E-4</v>
      </c>
      <c r="E55" s="25">
        <f t="shared" si="8"/>
        <v>38841.279958356245</v>
      </c>
      <c r="F55" s="25">
        <f t="shared" si="4"/>
        <v>38841.5</v>
      </c>
      <c r="G55" s="25">
        <f t="shared" si="3"/>
        <v>-0.11244150000129594</v>
      </c>
      <c r="K55" s="25">
        <f t="shared" si="7"/>
        <v>-0.11244150000129594</v>
      </c>
      <c r="O55" s="25">
        <f t="shared" ca="1" si="5"/>
        <v>-0.11134065269354443</v>
      </c>
      <c r="Q55" s="27">
        <f t="shared" si="9"/>
        <v>38049.936900000001</v>
      </c>
    </row>
    <row r="56" spans="1:21" ht="12.95" customHeight="1">
      <c r="A56" s="5" t="s">
        <v>65</v>
      </c>
      <c r="B56" s="7" t="s">
        <v>45</v>
      </c>
      <c r="C56" s="6">
        <v>53068.691800000001</v>
      </c>
      <c r="D56" s="6">
        <v>2.0000000000000001E-4</v>
      </c>
      <c r="E56" s="25">
        <f t="shared" si="8"/>
        <v>38841.778783211768</v>
      </c>
      <c r="F56" s="25">
        <f t="shared" si="4"/>
        <v>38842</v>
      </c>
      <c r="G56" s="25">
        <f t="shared" si="3"/>
        <v>-0.11304199999722186</v>
      </c>
      <c r="K56" s="25">
        <f t="shared" si="7"/>
        <v>-0.11304199999722186</v>
      </c>
      <c r="O56" s="25">
        <f t="shared" ca="1" si="5"/>
        <v>-0.11134018913194792</v>
      </c>
      <c r="Q56" s="27">
        <f t="shared" si="9"/>
        <v>38050.191800000001</v>
      </c>
    </row>
    <row r="57" spans="1:21" ht="12.95" customHeight="1">
      <c r="A57" s="44" t="s">
        <v>66</v>
      </c>
      <c r="B57" s="45" t="s">
        <v>45</v>
      </c>
      <c r="C57" s="44">
        <v>53410.297100000003</v>
      </c>
      <c r="E57" s="25">
        <f t="shared" si="8"/>
        <v>39510.280997493159</v>
      </c>
      <c r="F57" s="25">
        <f t="shared" si="4"/>
        <v>39510.5</v>
      </c>
      <c r="G57" s="25">
        <f t="shared" si="3"/>
        <v>-0.11191050000343239</v>
      </c>
      <c r="K57" s="25">
        <f t="shared" si="7"/>
        <v>-0.11191050000343239</v>
      </c>
      <c r="O57" s="25">
        <f t="shared" ca="1" si="5"/>
        <v>-0.11072040727742799</v>
      </c>
      <c r="Q57" s="27">
        <f t="shared" si="9"/>
        <v>38391.797100000003</v>
      </c>
    </row>
    <row r="58" spans="1:21" ht="12.95" customHeight="1">
      <c r="A58" s="44" t="s">
        <v>67</v>
      </c>
      <c r="B58" s="45" t="s">
        <v>45</v>
      </c>
      <c r="C58" s="44">
        <v>53690.2955</v>
      </c>
      <c r="E58" s="25">
        <f t="shared" si="8"/>
        <v>40058.221999565554</v>
      </c>
      <c r="F58" s="25">
        <f t="shared" si="4"/>
        <v>40058</v>
      </c>
      <c r="O58" s="25">
        <f t="shared" ca="1" si="5"/>
        <v>-0.11021280732926095</v>
      </c>
      <c r="Q58" s="27">
        <f t="shared" si="9"/>
        <v>38671.7955</v>
      </c>
      <c r="U58" s="25">
        <f>+C58-(C$7+F58*C$8)</f>
        <v>0.11344199999439297</v>
      </c>
    </row>
    <row r="59" spans="1:21" ht="12.95" customHeight="1">
      <c r="A59" s="44" t="s">
        <v>68</v>
      </c>
      <c r="B59" s="45" t="s">
        <v>54</v>
      </c>
      <c r="C59" s="44">
        <v>53708.215700000001</v>
      </c>
      <c r="E59" s="25">
        <f t="shared" si="8"/>
        <v>40093.290815477856</v>
      </c>
      <c r="F59" s="25">
        <f t="shared" si="4"/>
        <v>40093.5</v>
      </c>
      <c r="G59" s="25">
        <f t="shared" ref="G59:G77" si="10">+C59-(C$7+F59*C$8)</f>
        <v>-0.10689350000029663</v>
      </c>
      <c r="K59" s="25">
        <f t="shared" ref="K59:K68" si="11">+G59</f>
        <v>-0.10689350000029663</v>
      </c>
      <c r="O59" s="25">
        <f t="shared" ca="1" si="5"/>
        <v>-0.11017989445590949</v>
      </c>
      <c r="Q59" s="27">
        <f t="shared" si="9"/>
        <v>38689.715700000001</v>
      </c>
    </row>
    <row r="60" spans="1:21" ht="12.95" customHeight="1">
      <c r="A60" s="44" t="s">
        <v>69</v>
      </c>
      <c r="B60" s="45" t="s">
        <v>45</v>
      </c>
      <c r="C60" s="44">
        <v>54512.273200000003</v>
      </c>
      <c r="E60" s="25">
        <f t="shared" si="8"/>
        <v>41666.78577928419</v>
      </c>
      <c r="F60" s="25">
        <f t="shared" si="4"/>
        <v>41667</v>
      </c>
      <c r="G60" s="25">
        <f t="shared" si="10"/>
        <v>-0.1094669999947655</v>
      </c>
      <c r="K60" s="25">
        <f t="shared" si="11"/>
        <v>-0.1094669999947655</v>
      </c>
      <c r="O60" s="25">
        <f t="shared" ca="1" si="5"/>
        <v>-0.10872106611172533</v>
      </c>
      <c r="Q60" s="27">
        <f t="shared" si="9"/>
        <v>39493.773200000003</v>
      </c>
    </row>
    <row r="61" spans="1:21" ht="12.95" customHeight="1">
      <c r="A61" s="6" t="s">
        <v>70</v>
      </c>
      <c r="B61" s="7" t="s">
        <v>54</v>
      </c>
      <c r="C61" s="6">
        <v>54512.273209999999</v>
      </c>
      <c r="D61" s="6">
        <v>5.9999999999999995E-4</v>
      </c>
      <c r="E61" s="25">
        <f t="shared" si="8"/>
        <v>41666.78579885362</v>
      </c>
      <c r="F61" s="25">
        <f t="shared" ref="F61:F92" si="12">ROUND(2*E61,0)/2</f>
        <v>41667</v>
      </c>
      <c r="G61" s="25">
        <f t="shared" si="10"/>
        <v>-0.1094569999986561</v>
      </c>
      <c r="K61" s="25">
        <f t="shared" si="11"/>
        <v>-0.1094569999986561</v>
      </c>
      <c r="O61" s="25">
        <f t="shared" ca="1" si="5"/>
        <v>-0.10872106611172533</v>
      </c>
      <c r="Q61" s="27">
        <f t="shared" si="9"/>
        <v>39493.773209999999</v>
      </c>
    </row>
    <row r="62" spans="1:21" ht="12.95" customHeight="1">
      <c r="A62" s="44" t="s">
        <v>69</v>
      </c>
      <c r="B62" s="45" t="s">
        <v>45</v>
      </c>
      <c r="C62" s="44">
        <v>54512.2739</v>
      </c>
      <c r="E62" s="25">
        <f t="shared" si="8"/>
        <v>41666.787149144518</v>
      </c>
      <c r="F62" s="25">
        <f t="shared" si="12"/>
        <v>41667</v>
      </c>
      <c r="G62" s="25">
        <f t="shared" si="10"/>
        <v>-0.10876699999789707</v>
      </c>
      <c r="K62" s="25">
        <f t="shared" si="11"/>
        <v>-0.10876699999789707</v>
      </c>
      <c r="O62" s="25">
        <f t="shared" ca="1" si="5"/>
        <v>-0.10872106611172533</v>
      </c>
      <c r="Q62" s="27">
        <f t="shared" si="9"/>
        <v>39493.7739</v>
      </c>
    </row>
    <row r="63" spans="1:21" ht="12.95" customHeight="1">
      <c r="A63" s="6" t="s">
        <v>70</v>
      </c>
      <c r="B63" s="7" t="s">
        <v>54</v>
      </c>
      <c r="C63" s="6">
        <v>54512.273959999999</v>
      </c>
      <c r="D63" s="6">
        <v>5.0000000000000001E-4</v>
      </c>
      <c r="E63" s="25">
        <f t="shared" si="8"/>
        <v>41666.787266561114</v>
      </c>
      <c r="F63" s="25">
        <f t="shared" si="12"/>
        <v>41667</v>
      </c>
      <c r="G63" s="25">
        <f t="shared" si="10"/>
        <v>-0.1087069999994128</v>
      </c>
      <c r="K63" s="25">
        <f t="shared" si="11"/>
        <v>-0.1087069999994128</v>
      </c>
      <c r="O63" s="25">
        <f t="shared" ref="O63:O95" ca="1" si="13">+C$11+C$12*$F63</f>
        <v>-0.10872106611172533</v>
      </c>
      <c r="Q63" s="27">
        <f t="shared" si="9"/>
        <v>39493.773959999999</v>
      </c>
    </row>
    <row r="64" spans="1:21" ht="12.95" customHeight="1">
      <c r="A64" s="44" t="s">
        <v>69</v>
      </c>
      <c r="B64" s="45" t="s">
        <v>45</v>
      </c>
      <c r="C64" s="44">
        <v>54512.274899999997</v>
      </c>
      <c r="E64" s="25">
        <f t="shared" si="8"/>
        <v>41666.789106087846</v>
      </c>
      <c r="F64" s="25">
        <f t="shared" si="12"/>
        <v>41667</v>
      </c>
      <c r="G64" s="25">
        <f t="shared" si="10"/>
        <v>-0.10776700000133133</v>
      </c>
      <c r="K64" s="25">
        <f t="shared" si="11"/>
        <v>-0.10776700000133133</v>
      </c>
      <c r="O64" s="25">
        <f t="shared" ca="1" si="13"/>
        <v>-0.10872106611172533</v>
      </c>
      <c r="Q64" s="27">
        <f t="shared" si="9"/>
        <v>39493.774899999997</v>
      </c>
    </row>
    <row r="65" spans="1:21" ht="12.95" customHeight="1">
      <c r="A65" s="6" t="s">
        <v>70</v>
      </c>
      <c r="B65" s="7" t="s">
        <v>54</v>
      </c>
      <c r="C65" s="6">
        <v>54512.274920000003</v>
      </c>
      <c r="D65" s="6">
        <v>4.0000000000000002E-4</v>
      </c>
      <c r="E65" s="25">
        <f t="shared" si="8"/>
        <v>41666.789145226721</v>
      </c>
      <c r="F65" s="25">
        <f t="shared" si="12"/>
        <v>41667</v>
      </c>
      <c r="G65" s="25">
        <f t="shared" si="10"/>
        <v>-0.10774699999456061</v>
      </c>
      <c r="K65" s="25">
        <f t="shared" si="11"/>
        <v>-0.10774699999456061</v>
      </c>
      <c r="O65" s="25">
        <f t="shared" ca="1" si="13"/>
        <v>-0.10872106611172533</v>
      </c>
      <c r="Q65" s="27">
        <f t="shared" si="9"/>
        <v>39493.774920000003</v>
      </c>
    </row>
    <row r="66" spans="1:21" ht="12.95" customHeight="1">
      <c r="A66" s="44" t="s">
        <v>69</v>
      </c>
      <c r="B66" s="45" t="s">
        <v>45</v>
      </c>
      <c r="C66" s="44">
        <v>54536.2912</v>
      </c>
      <c r="E66" s="25">
        <f t="shared" si="8"/>
        <v>41713.787644251177</v>
      </c>
      <c r="F66" s="25">
        <f t="shared" si="12"/>
        <v>41714</v>
      </c>
      <c r="G66" s="25">
        <f t="shared" si="10"/>
        <v>-0.10851399999955902</v>
      </c>
      <c r="K66" s="25">
        <f t="shared" si="11"/>
        <v>-0.10851399999955902</v>
      </c>
      <c r="O66" s="25">
        <f t="shared" ca="1" si="13"/>
        <v>-0.10867749132165437</v>
      </c>
      <c r="Q66" s="27">
        <f t="shared" si="9"/>
        <v>39517.7912</v>
      </c>
    </row>
    <row r="67" spans="1:21" ht="12.95" customHeight="1">
      <c r="A67" s="6" t="s">
        <v>70</v>
      </c>
      <c r="B67" s="7" t="s">
        <v>54</v>
      </c>
      <c r="C67" s="6">
        <v>54536.291230000003</v>
      </c>
      <c r="D67" s="6">
        <v>2.9999999999999997E-4</v>
      </c>
      <c r="E67" s="25">
        <f t="shared" si="8"/>
        <v>41713.787702959489</v>
      </c>
      <c r="F67" s="25">
        <f t="shared" si="12"/>
        <v>41714</v>
      </c>
      <c r="G67" s="25">
        <f t="shared" si="10"/>
        <v>-0.1084839999966789</v>
      </c>
      <c r="K67" s="25">
        <f t="shared" si="11"/>
        <v>-0.1084839999966789</v>
      </c>
      <c r="O67" s="25">
        <f t="shared" ca="1" si="13"/>
        <v>-0.10867749132165437</v>
      </c>
      <c r="Q67" s="27">
        <f t="shared" si="9"/>
        <v>39517.791230000003</v>
      </c>
    </row>
    <row r="68" spans="1:21" ht="12.95" customHeight="1">
      <c r="A68" s="44" t="s">
        <v>71</v>
      </c>
      <c r="B68" s="45" t="s">
        <v>54</v>
      </c>
      <c r="C68" s="44">
        <v>54808.144999999997</v>
      </c>
      <c r="E68" s="25">
        <f t="shared" si="8"/>
        <v>42245.790125655323</v>
      </c>
      <c r="F68" s="25">
        <f t="shared" si="12"/>
        <v>42246</v>
      </c>
      <c r="G68" s="25">
        <f t="shared" si="10"/>
        <v>-0.10724600000685314</v>
      </c>
      <c r="K68" s="25">
        <f t="shared" si="11"/>
        <v>-0.10724600000685314</v>
      </c>
      <c r="O68" s="25">
        <f t="shared" ca="1" si="13"/>
        <v>-0.10818426178297882</v>
      </c>
      <c r="Q68" s="27">
        <f t="shared" si="9"/>
        <v>39789.644999999997</v>
      </c>
    </row>
    <row r="69" spans="1:21" ht="12.95" customHeight="1">
      <c r="A69" s="6" t="s">
        <v>72</v>
      </c>
      <c r="B69" s="7" t="s">
        <v>45</v>
      </c>
      <c r="C69" s="6">
        <v>54832.417500000003</v>
      </c>
      <c r="D69" s="6">
        <v>1E-4</v>
      </c>
      <c r="E69" s="25">
        <f t="shared" si="8"/>
        <v>42293.290032700526</v>
      </c>
      <c r="F69" s="25">
        <f t="shared" si="12"/>
        <v>42293.5</v>
      </c>
      <c r="G69" s="25">
        <f t="shared" si="10"/>
        <v>-0.10729349999746773</v>
      </c>
      <c r="J69" s="25">
        <f>+G69</f>
        <v>-0.10729349999746773</v>
      </c>
      <c r="O69" s="25">
        <f t="shared" ca="1" si="13"/>
        <v>-0.10814022343131137</v>
      </c>
      <c r="Q69" s="27">
        <f t="shared" si="9"/>
        <v>39813.917500000003</v>
      </c>
    </row>
    <row r="70" spans="1:21" ht="12.95" customHeight="1">
      <c r="A70" s="6" t="s">
        <v>73</v>
      </c>
      <c r="B70" s="7" t="s">
        <v>45</v>
      </c>
      <c r="C70" s="6">
        <v>54887.604200000002</v>
      </c>
      <c r="D70" s="6">
        <v>1E-3</v>
      </c>
      <c r="E70" s="25">
        <f t="shared" si="8"/>
        <v>42401.287277324307</v>
      </c>
      <c r="F70" s="25">
        <f t="shared" si="12"/>
        <v>42401.5</v>
      </c>
      <c r="G70" s="25">
        <f t="shared" si="10"/>
        <v>-0.10870150000118883</v>
      </c>
      <c r="K70" s="25">
        <f>+G70</f>
        <v>-0.10870150000118883</v>
      </c>
      <c r="O70" s="25">
        <f t="shared" ca="1" si="13"/>
        <v>-0.10804009412646745</v>
      </c>
      <c r="Q70" s="27">
        <f t="shared" si="9"/>
        <v>39869.104200000002</v>
      </c>
    </row>
    <row r="71" spans="1:21" ht="12.95" customHeight="1">
      <c r="A71" s="44" t="s">
        <v>74</v>
      </c>
      <c r="B71" s="45" t="s">
        <v>45</v>
      </c>
      <c r="C71" s="44">
        <v>55574.136899999998</v>
      </c>
      <c r="E71" s="25">
        <f t="shared" si="8"/>
        <v>43744.79286733293</v>
      </c>
      <c r="F71" s="25">
        <f t="shared" si="12"/>
        <v>43745</v>
      </c>
      <c r="G71" s="25">
        <f t="shared" si="10"/>
        <v>-0.10584500000550179</v>
      </c>
      <c r="K71" s="25">
        <f>+G71</f>
        <v>-0.10584500000550179</v>
      </c>
      <c r="O71" s="25">
        <f t="shared" ca="1" si="13"/>
        <v>-0.1067945041166731</v>
      </c>
      <c r="Q71" s="27">
        <f t="shared" si="9"/>
        <v>40555.636899999998</v>
      </c>
    </row>
    <row r="72" spans="1:21" ht="12.95" customHeight="1">
      <c r="A72" s="44" t="s">
        <v>75</v>
      </c>
      <c r="B72" s="45" t="s">
        <v>54</v>
      </c>
      <c r="C72" s="44">
        <v>55593.3001</v>
      </c>
      <c r="E72" s="25">
        <f t="shared" si="8"/>
        <v>43782.294163807892</v>
      </c>
      <c r="F72" s="25">
        <f t="shared" si="12"/>
        <v>43782.5</v>
      </c>
      <c r="G72" s="25">
        <f t="shared" si="10"/>
        <v>-0.10518250000313856</v>
      </c>
      <c r="K72" s="25">
        <f>+G72</f>
        <v>-0.10518250000313856</v>
      </c>
      <c r="O72" s="25">
        <f t="shared" ca="1" si="13"/>
        <v>-0.10675973699693564</v>
      </c>
      <c r="Q72" s="27">
        <f t="shared" si="9"/>
        <v>40574.8001</v>
      </c>
    </row>
    <row r="73" spans="1:21" ht="12.95" customHeight="1">
      <c r="A73" s="6" t="s">
        <v>76</v>
      </c>
      <c r="B73" s="7" t="s">
        <v>54</v>
      </c>
      <c r="C73" s="6">
        <v>55609.651700000002</v>
      </c>
      <c r="D73" s="6">
        <v>2.9999999999999997E-4</v>
      </c>
      <c r="E73" s="25">
        <f t="shared" si="8"/>
        <v>43814.293318408381</v>
      </c>
      <c r="F73" s="25">
        <f t="shared" si="12"/>
        <v>43814.5</v>
      </c>
      <c r="G73" s="25">
        <f t="shared" si="10"/>
        <v>-0.10561450000386685</v>
      </c>
      <c r="K73" s="25">
        <f>+G73</f>
        <v>-0.10561450000386685</v>
      </c>
      <c r="O73" s="25">
        <f t="shared" ca="1" si="13"/>
        <v>-0.10673006905475967</v>
      </c>
      <c r="Q73" s="27">
        <f t="shared" si="9"/>
        <v>40591.151700000002</v>
      </c>
    </row>
    <row r="74" spans="1:21" ht="12.95" customHeight="1">
      <c r="A74" s="6" t="s">
        <v>77</v>
      </c>
      <c r="B74" s="7" t="s">
        <v>45</v>
      </c>
      <c r="C74" s="6">
        <v>55642.355000000003</v>
      </c>
      <c r="D74" s="6">
        <v>2.0000000000000001E-4</v>
      </c>
      <c r="E74" s="25">
        <f t="shared" si="8"/>
        <v>43878.291823303676</v>
      </c>
      <c r="F74" s="25">
        <f t="shared" si="12"/>
        <v>43878.5</v>
      </c>
      <c r="G74" s="25">
        <f t="shared" si="10"/>
        <v>-0.10637850000057369</v>
      </c>
      <c r="J74" s="25">
        <f>+G74</f>
        <v>-0.10637850000057369</v>
      </c>
      <c r="O74" s="25">
        <f t="shared" ca="1" si="13"/>
        <v>-0.10667073317040772</v>
      </c>
      <c r="Q74" s="27">
        <f t="shared" si="9"/>
        <v>40623.855000000003</v>
      </c>
    </row>
    <row r="75" spans="1:21" ht="12.95" customHeight="1">
      <c r="A75" s="44" t="s">
        <v>78</v>
      </c>
      <c r="B75" s="45" t="s">
        <v>45</v>
      </c>
      <c r="C75" s="44">
        <v>55977.061199999996</v>
      </c>
      <c r="E75" s="25">
        <f t="shared" si="8"/>
        <v>44533.29288983778</v>
      </c>
      <c r="F75" s="25">
        <f t="shared" si="12"/>
        <v>44533.5</v>
      </c>
      <c r="G75" s="25">
        <f t="shared" si="10"/>
        <v>-0.10583350000524661</v>
      </c>
      <c r="K75" s="25">
        <f>+G75</f>
        <v>-0.10583350000524661</v>
      </c>
      <c r="O75" s="25">
        <f t="shared" ca="1" si="13"/>
        <v>-0.10606346747899328</v>
      </c>
      <c r="Q75" s="27">
        <f t="shared" si="9"/>
        <v>40958.561199999996</v>
      </c>
    </row>
    <row r="76" spans="1:21" ht="12.95" customHeight="1">
      <c r="A76" s="5" t="s">
        <v>79</v>
      </c>
      <c r="B76" s="7" t="s">
        <v>54</v>
      </c>
      <c r="C76" s="6">
        <v>56269.610240000002</v>
      </c>
      <c r="D76" s="6">
        <v>4.0000000000000002E-4</v>
      </c>
      <c r="E76" s="25">
        <f t="shared" si="8"/>
        <v>45105.794783180463</v>
      </c>
      <c r="F76" s="25">
        <f t="shared" si="12"/>
        <v>45106</v>
      </c>
      <c r="G76" s="25">
        <f t="shared" si="10"/>
        <v>-0.10486600000149338</v>
      </c>
      <c r="K76" s="25">
        <f>+G76</f>
        <v>-0.10486600000149338</v>
      </c>
      <c r="O76" s="25">
        <f t="shared" ca="1" si="13"/>
        <v>-0.10553268945100128</v>
      </c>
      <c r="Q76" s="27">
        <f t="shared" si="9"/>
        <v>41251.110240000002</v>
      </c>
    </row>
    <row r="77" spans="1:21" ht="12.95" customHeight="1">
      <c r="A77" s="44" t="s">
        <v>78</v>
      </c>
      <c r="B77" s="45" t="s">
        <v>45</v>
      </c>
      <c r="C77" s="44">
        <v>56281.107300000003</v>
      </c>
      <c r="E77" s="25">
        <f t="shared" si="8"/>
        <v>45128.293878094177</v>
      </c>
      <c r="F77" s="25">
        <f t="shared" si="12"/>
        <v>45128.5</v>
      </c>
      <c r="G77" s="25">
        <f t="shared" si="10"/>
        <v>-0.10532849999435712</v>
      </c>
      <c r="K77" s="25">
        <f>+G77</f>
        <v>-0.10532849999435712</v>
      </c>
      <c r="O77" s="25">
        <f t="shared" ca="1" si="13"/>
        <v>-0.10551182917915879</v>
      </c>
      <c r="Q77" s="27">
        <f t="shared" si="9"/>
        <v>41262.607300000003</v>
      </c>
    </row>
    <row r="78" spans="1:21" ht="12.95" customHeight="1">
      <c r="A78" s="52" t="s">
        <v>80</v>
      </c>
      <c r="B78" s="9" t="s">
        <v>45</v>
      </c>
      <c r="C78" s="6">
        <v>56612.484700000001</v>
      </c>
      <c r="D78" s="8">
        <v>2E-3</v>
      </c>
      <c r="E78" s="25">
        <f t="shared" si="8"/>
        <v>45776.780671662091</v>
      </c>
      <c r="F78" s="25">
        <f t="shared" si="12"/>
        <v>45777</v>
      </c>
      <c r="J78" s="25">
        <f>+U78</f>
        <v>-0.11207699999795295</v>
      </c>
      <c r="O78" s="25">
        <f t="shared" ca="1" si="13"/>
        <v>-0.10491058978849885</v>
      </c>
      <c r="Q78" s="27">
        <f t="shared" si="9"/>
        <v>41593.984700000001</v>
      </c>
      <c r="U78" s="25">
        <f>+C78-(C$7+F78*C$8)</f>
        <v>-0.11207699999795295</v>
      </c>
    </row>
    <row r="79" spans="1:21" ht="12.95" customHeight="1">
      <c r="A79" s="53" t="s">
        <v>81</v>
      </c>
      <c r="B79" s="54" t="s">
        <v>54</v>
      </c>
      <c r="C79" s="55">
        <v>56692.718699999998</v>
      </c>
      <c r="D79" s="53">
        <v>8.0000000000000004E-4</v>
      </c>
      <c r="E79" s="25">
        <f t="shared" si="8"/>
        <v>45933.794063025307</v>
      </c>
      <c r="F79" s="25">
        <f t="shared" si="12"/>
        <v>45934</v>
      </c>
      <c r="G79" s="25">
        <f>+C79-(C$7+F79*C$8)</f>
        <v>-0.10523400000238325</v>
      </c>
      <c r="K79" s="25">
        <f>+G79</f>
        <v>-0.10523400000238325</v>
      </c>
      <c r="O79" s="25">
        <f t="shared" ca="1" si="13"/>
        <v>-0.10476503144719798</v>
      </c>
      <c r="Q79" s="27">
        <f t="shared" si="9"/>
        <v>41674.218699999998</v>
      </c>
    </row>
    <row r="80" spans="1:21" ht="12.95" customHeight="1">
      <c r="A80" s="53" t="s">
        <v>81</v>
      </c>
      <c r="B80" s="54" t="s">
        <v>54</v>
      </c>
      <c r="C80" s="55">
        <v>56692.719420000001</v>
      </c>
      <c r="D80" s="53">
        <v>5.0000000000000001E-4</v>
      </c>
      <c r="E80" s="25">
        <f t="shared" si="8"/>
        <v>45933.795472024511</v>
      </c>
      <c r="F80" s="25">
        <f t="shared" si="12"/>
        <v>45934</v>
      </c>
      <c r="G80" s="25">
        <f>+C80-(C$7+F80*C$8)</f>
        <v>-0.10451399999874411</v>
      </c>
      <c r="K80" s="25">
        <f>+G80</f>
        <v>-0.10451399999874411</v>
      </c>
      <c r="O80" s="25">
        <f t="shared" ca="1" si="13"/>
        <v>-0.10476503144719798</v>
      </c>
      <c r="Q80" s="27">
        <f t="shared" si="9"/>
        <v>41674.219420000001</v>
      </c>
    </row>
    <row r="81" spans="1:21" ht="12.95" customHeight="1">
      <c r="A81" s="53" t="s">
        <v>81</v>
      </c>
      <c r="B81" s="54" t="s">
        <v>54</v>
      </c>
      <c r="C81" s="55">
        <v>56692.71989</v>
      </c>
      <c r="D81" s="53">
        <v>5.9999999999999995E-4</v>
      </c>
      <c r="E81" s="25">
        <f t="shared" si="8"/>
        <v>45933.796391787881</v>
      </c>
      <c r="F81" s="25">
        <f t="shared" si="12"/>
        <v>45934</v>
      </c>
      <c r="G81" s="25">
        <f>+C81-(C$7+F81*C$8)</f>
        <v>-0.10404399999970337</v>
      </c>
      <c r="K81" s="25">
        <f>+G81</f>
        <v>-0.10404399999970337</v>
      </c>
      <c r="O81" s="25">
        <f t="shared" ca="1" si="13"/>
        <v>-0.10476503144719798</v>
      </c>
      <c r="Q81" s="27">
        <f t="shared" si="9"/>
        <v>41674.21989</v>
      </c>
    </row>
    <row r="82" spans="1:21" ht="12.95" customHeight="1">
      <c r="A82" s="53" t="s">
        <v>81</v>
      </c>
      <c r="B82" s="54" t="s">
        <v>54</v>
      </c>
      <c r="C82" s="55">
        <v>56692.71989</v>
      </c>
      <c r="D82" s="53">
        <v>6.9999999999999999E-4</v>
      </c>
      <c r="E82" s="25">
        <f t="shared" si="8"/>
        <v>45933.796391787881</v>
      </c>
      <c r="F82" s="25">
        <f t="shared" si="12"/>
        <v>45934</v>
      </c>
      <c r="G82" s="25">
        <f>+C82-(C$7+F82*C$8)</f>
        <v>-0.10404399999970337</v>
      </c>
      <c r="K82" s="25">
        <f>+G82</f>
        <v>-0.10404399999970337</v>
      </c>
      <c r="O82" s="25">
        <f t="shared" ca="1" si="13"/>
        <v>-0.10476503144719798</v>
      </c>
      <c r="Q82" s="27">
        <f t="shared" si="9"/>
        <v>41674.21989</v>
      </c>
    </row>
    <row r="83" spans="1:21" ht="12.95" customHeight="1">
      <c r="A83" s="53" t="s">
        <v>82</v>
      </c>
      <c r="B83" s="54"/>
      <c r="C83" s="53">
        <v>57061.668299999998</v>
      </c>
      <c r="D83" s="53">
        <v>4.7999999999999996E-3</v>
      </c>
      <c r="E83" s="25">
        <f t="shared" si="8"/>
        <v>46655.807522881551</v>
      </c>
      <c r="F83" s="25">
        <f t="shared" si="12"/>
        <v>46656</v>
      </c>
      <c r="O83" s="25">
        <f t="shared" ca="1" si="13"/>
        <v>-0.1040956485018526</v>
      </c>
      <c r="Q83" s="27">
        <f t="shared" si="9"/>
        <v>42043.168299999998</v>
      </c>
      <c r="U83" s="25">
        <f>+C83-(C$7+F83*C$8)</f>
        <v>-9.835600000951672E-2</v>
      </c>
    </row>
    <row r="84" spans="1:21" ht="12.95" customHeight="1">
      <c r="A84" s="53" t="s">
        <v>82</v>
      </c>
      <c r="B84" s="54"/>
      <c r="C84" s="53">
        <v>57062.6921</v>
      </c>
      <c r="D84" s="53">
        <v>1.6999999999999999E-3</v>
      </c>
      <c r="E84" s="25">
        <f t="shared" si="8"/>
        <v>46657.811041465669</v>
      </c>
      <c r="F84" s="25">
        <f t="shared" si="12"/>
        <v>46658</v>
      </c>
      <c r="O84" s="25">
        <f t="shared" ca="1" si="13"/>
        <v>-0.1040937942554666</v>
      </c>
      <c r="Q84" s="27">
        <f t="shared" si="9"/>
        <v>42044.1921</v>
      </c>
      <c r="U84" s="25">
        <f>+C84-(C$7+F84*C$8)</f>
        <v>-9.6558000004733913E-2</v>
      </c>
    </row>
    <row r="85" spans="1:21" ht="12.95" customHeight="1">
      <c r="A85" s="56" t="s">
        <v>83</v>
      </c>
      <c r="B85" s="57" t="s">
        <v>45</v>
      </c>
      <c r="C85" s="56">
        <v>57387.172400000003</v>
      </c>
      <c r="D85" s="56" t="s">
        <v>84</v>
      </c>
      <c r="E85" s="25">
        <f t="shared" ref="E85:E95" si="14">+(C85-C$7)/C$8</f>
        <v>47292.800601172996</v>
      </c>
      <c r="F85" s="25">
        <f t="shared" si="12"/>
        <v>47293</v>
      </c>
      <c r="G85" s="25">
        <f t="shared" ref="G85:G95" si="15">+C85-(C$7+F85*C$8)</f>
        <v>-0.10189299999910872</v>
      </c>
      <c r="K85" s="25">
        <f t="shared" ref="K85:K95" si="16">+G85</f>
        <v>-0.10189299999910872</v>
      </c>
      <c r="O85" s="25">
        <f t="shared" ca="1" si="13"/>
        <v>-0.10350507102791213</v>
      </c>
      <c r="Q85" s="27">
        <f t="shared" ref="Q85:Q95" si="17">+C85-15018.5</f>
        <v>42368.672400000003</v>
      </c>
    </row>
    <row r="86" spans="1:21" ht="12.95" customHeight="1">
      <c r="A86" s="58" t="s">
        <v>85</v>
      </c>
      <c r="B86" s="57" t="s">
        <v>45</v>
      </c>
      <c r="C86" s="56">
        <v>58885.942000000003</v>
      </c>
      <c r="D86" s="56" t="s">
        <v>49</v>
      </c>
      <c r="E86" s="25">
        <f t="shared" si="14"/>
        <v>50225.807777284193</v>
      </c>
      <c r="F86" s="25">
        <f t="shared" si="12"/>
        <v>50226</v>
      </c>
      <c r="G86" s="25">
        <f t="shared" si="15"/>
        <v>-9.8225999994610902E-2</v>
      </c>
      <c r="K86" s="25">
        <f t="shared" si="16"/>
        <v>-9.8225999994610902E-2</v>
      </c>
      <c r="O86" s="25">
        <f t="shared" ca="1" si="13"/>
        <v>-0.10078581870284564</v>
      </c>
      <c r="Q86" s="27">
        <f t="shared" si="17"/>
        <v>43867.442000000003</v>
      </c>
    </row>
    <row r="87" spans="1:21" ht="12.95" customHeight="1">
      <c r="A87" s="58" t="s">
        <v>85</v>
      </c>
      <c r="B87" s="57" t="s">
        <v>45</v>
      </c>
      <c r="C87" s="56">
        <v>58885.942199999998</v>
      </c>
      <c r="D87" s="56" t="s">
        <v>86</v>
      </c>
      <c r="E87" s="25">
        <f t="shared" si="14"/>
        <v>50225.808168672847</v>
      </c>
      <c r="F87" s="25">
        <f t="shared" si="12"/>
        <v>50226</v>
      </c>
      <c r="G87" s="25">
        <f t="shared" si="15"/>
        <v>-9.8025999999663327E-2</v>
      </c>
      <c r="K87" s="25">
        <f t="shared" si="16"/>
        <v>-9.8025999999663327E-2</v>
      </c>
      <c r="O87" s="25">
        <f t="shared" ca="1" si="13"/>
        <v>-0.10078581870284564</v>
      </c>
      <c r="Q87" s="27">
        <f t="shared" si="17"/>
        <v>43867.442199999998</v>
      </c>
    </row>
    <row r="88" spans="1:21" ht="12.95" customHeight="1">
      <c r="A88" s="58" t="s">
        <v>85</v>
      </c>
      <c r="B88" s="57" t="s">
        <v>45</v>
      </c>
      <c r="C88" s="56">
        <v>58885.942199999998</v>
      </c>
      <c r="D88" s="56" t="s">
        <v>87</v>
      </c>
      <c r="E88" s="25">
        <f t="shared" si="14"/>
        <v>50225.808168672847</v>
      </c>
      <c r="F88" s="25">
        <f t="shared" si="12"/>
        <v>50226</v>
      </c>
      <c r="G88" s="25">
        <f t="shared" si="15"/>
        <v>-9.8025999999663327E-2</v>
      </c>
      <c r="K88" s="25">
        <f t="shared" si="16"/>
        <v>-9.8025999999663327E-2</v>
      </c>
      <c r="O88" s="25">
        <f t="shared" ca="1" si="13"/>
        <v>-0.10078581870284564</v>
      </c>
      <c r="Q88" s="27">
        <f t="shared" si="17"/>
        <v>43867.442199999998</v>
      </c>
    </row>
    <row r="89" spans="1:21" ht="12.95" customHeight="1">
      <c r="A89" s="24" t="s">
        <v>308</v>
      </c>
      <c r="B89" s="62" t="s">
        <v>54</v>
      </c>
      <c r="C89" s="63">
        <v>59548.9375</v>
      </c>
      <c r="D89" s="64">
        <v>1E-4</v>
      </c>
      <c r="E89" s="25">
        <f t="shared" si="14"/>
        <v>51523.252400680227</v>
      </c>
      <c r="F89" s="25">
        <f t="shared" si="12"/>
        <v>51523.5</v>
      </c>
      <c r="G89" s="25">
        <f t="shared" si="15"/>
        <v>-0.12652350000280421</v>
      </c>
      <c r="K89" s="25">
        <f t="shared" si="16"/>
        <v>-0.12652350000280421</v>
      </c>
      <c r="O89" s="25">
        <f t="shared" ca="1" si="13"/>
        <v>-9.958287635992924E-2</v>
      </c>
      <c r="Q89" s="27">
        <f t="shared" si="17"/>
        <v>44530.4375</v>
      </c>
    </row>
    <row r="90" spans="1:21" ht="12.95" customHeight="1">
      <c r="A90" s="59" t="s">
        <v>306</v>
      </c>
      <c r="C90" s="47">
        <v>59564.8076</v>
      </c>
      <c r="D90" s="47">
        <v>2.0000000000000001E-4</v>
      </c>
      <c r="E90" s="25">
        <f t="shared" si="14"/>
        <v>51554.309287065968</v>
      </c>
      <c r="F90" s="25">
        <f t="shared" si="12"/>
        <v>51554.5</v>
      </c>
      <c r="G90" s="25">
        <f t="shared" si="15"/>
        <v>-9.7454500006278977E-2</v>
      </c>
      <c r="K90" s="25">
        <f t="shared" si="16"/>
        <v>-9.7454500006278977E-2</v>
      </c>
      <c r="O90" s="25">
        <f t="shared" ca="1" si="13"/>
        <v>-9.9554135540946276E-2</v>
      </c>
      <c r="Q90" s="27">
        <f t="shared" si="17"/>
        <v>44546.3076</v>
      </c>
    </row>
    <row r="91" spans="1:21" ht="12.95" customHeight="1">
      <c r="A91" s="60" t="s">
        <v>307</v>
      </c>
      <c r="B91" s="61" t="s">
        <v>54</v>
      </c>
      <c r="C91" s="23">
        <v>59886.227899999823</v>
      </c>
      <c r="E91" s="25">
        <f t="shared" si="14"/>
        <v>52183.310600174598</v>
      </c>
      <c r="F91" s="25">
        <f t="shared" si="12"/>
        <v>52183.5</v>
      </c>
      <c r="G91" s="25">
        <f t="shared" si="15"/>
        <v>-9.6783500179299153E-2</v>
      </c>
      <c r="K91" s="25">
        <f t="shared" si="16"/>
        <v>-9.6783500179299153E-2</v>
      </c>
      <c r="O91" s="25">
        <f t="shared" ca="1" si="13"/>
        <v>-9.8970975052549814E-2</v>
      </c>
      <c r="Q91" s="27">
        <f t="shared" si="17"/>
        <v>44867.727899999823</v>
      </c>
    </row>
    <row r="92" spans="1:21" ht="12.95" customHeight="1">
      <c r="A92" s="60" t="s">
        <v>307</v>
      </c>
      <c r="B92" s="61" t="s">
        <v>54</v>
      </c>
      <c r="C92" s="23">
        <v>59886.228699999861</v>
      </c>
      <c r="E92" s="25">
        <f t="shared" si="14"/>
        <v>52183.312165729338</v>
      </c>
      <c r="F92" s="25">
        <f t="shared" si="12"/>
        <v>52183.5</v>
      </c>
      <c r="G92" s="25">
        <f t="shared" si="15"/>
        <v>-9.5983500141301192E-2</v>
      </c>
      <c r="K92" s="25">
        <f t="shared" si="16"/>
        <v>-9.5983500141301192E-2</v>
      </c>
      <c r="O92" s="25">
        <f t="shared" ca="1" si="13"/>
        <v>-9.8970975052549814E-2</v>
      </c>
      <c r="Q92" s="27">
        <f t="shared" si="17"/>
        <v>44867.728699999861</v>
      </c>
    </row>
    <row r="93" spans="1:21" ht="12.95" customHeight="1">
      <c r="A93" s="60" t="s">
        <v>307</v>
      </c>
      <c r="B93" s="61" t="s">
        <v>54</v>
      </c>
      <c r="C93" s="23">
        <v>59886.229999999981</v>
      </c>
      <c r="E93" s="25">
        <f t="shared" si="14"/>
        <v>52183.314709755905</v>
      </c>
      <c r="F93" s="25">
        <f t="shared" ref="F93:F124" si="18">ROUND(2*E93,0)/2</f>
        <v>52183.5</v>
      </c>
      <c r="G93" s="25">
        <f t="shared" si="15"/>
        <v>-9.4683500021346845E-2</v>
      </c>
      <c r="K93" s="25">
        <f t="shared" si="16"/>
        <v>-9.4683500021346845E-2</v>
      </c>
      <c r="O93" s="25">
        <f t="shared" ca="1" si="13"/>
        <v>-9.8970975052549814E-2</v>
      </c>
      <c r="Q93" s="27">
        <f t="shared" si="17"/>
        <v>44867.729999999981</v>
      </c>
    </row>
    <row r="94" spans="1:21" ht="12.95" customHeight="1">
      <c r="A94" s="60" t="s">
        <v>307</v>
      </c>
      <c r="B94" s="61" t="s">
        <v>54</v>
      </c>
      <c r="C94" s="23">
        <v>59927.106900000013</v>
      </c>
      <c r="E94" s="25">
        <f t="shared" si="14"/>
        <v>52263.308486676171</v>
      </c>
      <c r="F94" s="25">
        <f t="shared" si="18"/>
        <v>52263.5</v>
      </c>
      <c r="G94" s="25">
        <f t="shared" si="15"/>
        <v>-9.7863499991944991E-2</v>
      </c>
      <c r="K94" s="25">
        <f t="shared" si="16"/>
        <v>-9.7863499991944991E-2</v>
      </c>
      <c r="O94" s="25">
        <f t="shared" ca="1" si="13"/>
        <v>-9.8896805197109888E-2</v>
      </c>
      <c r="Q94" s="27">
        <f t="shared" si="17"/>
        <v>44908.606900000013</v>
      </c>
    </row>
    <row r="95" spans="1:21" ht="12.95" customHeight="1">
      <c r="A95" s="60" t="s">
        <v>307</v>
      </c>
      <c r="B95" s="61" t="s">
        <v>54</v>
      </c>
      <c r="C95" s="23">
        <v>59927.107600000221</v>
      </c>
      <c r="E95" s="25">
        <f t="shared" si="14"/>
        <v>52263.309856536915</v>
      </c>
      <c r="F95" s="25">
        <f t="shared" si="18"/>
        <v>52263.5</v>
      </c>
      <c r="G95" s="25">
        <f t="shared" si="15"/>
        <v>-9.7163499784073792E-2</v>
      </c>
      <c r="K95" s="25">
        <f t="shared" si="16"/>
        <v>-9.7163499784073792E-2</v>
      </c>
      <c r="O95" s="25">
        <f t="shared" ca="1" si="13"/>
        <v>-9.8896805197109888E-2</v>
      </c>
      <c r="Q95" s="27">
        <f t="shared" si="17"/>
        <v>44908.607600000221</v>
      </c>
    </row>
  </sheetData>
  <sheetProtection selectLockedCells="1" selectUnlockedCells="1"/>
  <sortState xmlns:xlrd2="http://schemas.microsoft.com/office/spreadsheetml/2017/richdata2" ref="A21:U95">
    <sortCondition ref="C21:C95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81"/>
  <sheetViews>
    <sheetView workbookViewId="0">
      <pane xSplit="14" ySplit="22" topLeftCell="O74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2.42578125" style="1" customWidth="1"/>
    <col min="18" max="16384" width="10.28515625" style="1"/>
  </cols>
  <sheetData>
    <row r="1" spans="1:6" ht="20.25">
      <c r="A1" s="2" t="s">
        <v>0</v>
      </c>
    </row>
    <row r="2" spans="1:6" s="25" customFormat="1" ht="12.95" customHeight="1">
      <c r="A2" s="25" t="s">
        <v>1</v>
      </c>
      <c r="B2" s="26" t="s">
        <v>2</v>
      </c>
    </row>
    <row r="3" spans="1:6" s="25" customFormat="1" ht="12.95" customHeight="1"/>
    <row r="4" spans="1:6" s="25" customFormat="1" ht="12.95" customHeight="1">
      <c r="A4" s="28" t="s">
        <v>3</v>
      </c>
      <c r="C4" s="29">
        <v>33220.504000000001</v>
      </c>
      <c r="D4" s="30">
        <v>0.68702529999999995</v>
      </c>
    </row>
    <row r="5" spans="1:6" s="25" customFormat="1" ht="12.95" customHeight="1">
      <c r="A5" s="31" t="s">
        <v>4</v>
      </c>
      <c r="C5" s="32">
        <v>-9.5</v>
      </c>
      <c r="D5" s="25" t="s">
        <v>5</v>
      </c>
    </row>
    <row r="6" spans="1:6" s="25" customFormat="1" ht="12.95" customHeight="1">
      <c r="A6" s="28" t="s">
        <v>6</v>
      </c>
    </row>
    <row r="7" spans="1:6" s="25" customFormat="1" ht="12.95" customHeight="1">
      <c r="A7" s="25" t="s">
        <v>7</v>
      </c>
      <c r="C7" s="25">
        <f>+C4</f>
        <v>33220.504000000001</v>
      </c>
    </row>
    <row r="8" spans="1:6" s="25" customFormat="1" ht="12.95" customHeight="1">
      <c r="A8" s="25" t="s">
        <v>8</v>
      </c>
      <c r="C8" s="25">
        <f>+D4</f>
        <v>0.68702529999999995</v>
      </c>
      <c r="D8" s="25" t="s">
        <v>88</v>
      </c>
    </row>
    <row r="9" spans="1:6" s="25" customFormat="1" ht="12.95" customHeight="1">
      <c r="A9" s="33" t="s">
        <v>10</v>
      </c>
      <c r="B9" s="34">
        <v>31</v>
      </c>
      <c r="C9" s="35" t="str">
        <f>"F"&amp;B9</f>
        <v>F31</v>
      </c>
      <c r="D9" s="36" t="str">
        <f>"G"&amp;B9</f>
        <v>G31</v>
      </c>
    </row>
    <row r="10" spans="1:6" s="25" customFormat="1" ht="12.95" customHeight="1">
      <c r="C10" s="37" t="s">
        <v>11</v>
      </c>
      <c r="D10" s="37" t="s">
        <v>12</v>
      </c>
    </row>
    <row r="11" spans="1:6" s="25" customFormat="1" ht="12.95" customHeight="1">
      <c r="A11" s="25" t="s">
        <v>13</v>
      </c>
      <c r="C11" s="36">
        <f ca="1">INTERCEPT(INDIRECT($D$9):G990,INDIRECT($C$9):F990)</f>
        <v>0.53098713382427709</v>
      </c>
      <c r="D11" s="38"/>
    </row>
    <row r="12" spans="1:6" s="25" customFormat="1" ht="12.95" customHeight="1">
      <c r="A12" s="25" t="s">
        <v>14</v>
      </c>
      <c r="C12" s="36">
        <f ca="1">SLOPE(INDIRECT($D$9):G990,INDIRECT($C$9):F990)</f>
        <v>-2.526175577272998E-5</v>
      </c>
      <c r="D12" s="38"/>
    </row>
    <row r="13" spans="1:6" s="25" customFormat="1" ht="12.95" customHeight="1">
      <c r="A13" s="25" t="s">
        <v>15</v>
      </c>
      <c r="C13" s="38" t="s">
        <v>16</v>
      </c>
    </row>
    <row r="14" spans="1:6" s="25" customFormat="1" ht="12.95" customHeight="1"/>
    <row r="15" spans="1:6" s="25" customFormat="1" ht="12.95" customHeight="1">
      <c r="A15" s="28" t="s">
        <v>17</v>
      </c>
      <c r="C15" s="39">
        <f ca="1">(C7+C11)+(C8+C12)*INT(MAX(F21:F3531))</f>
        <v>59926.787473801669</v>
      </c>
      <c r="E15" s="33" t="s">
        <v>18</v>
      </c>
      <c r="F15" s="32">
        <v>1</v>
      </c>
    </row>
    <row r="16" spans="1:6" s="25" customFormat="1" ht="12.95" customHeight="1">
      <c r="A16" s="28" t="s">
        <v>19</v>
      </c>
      <c r="C16" s="39">
        <f ca="1">+C8+C12</f>
        <v>0.68700003824422717</v>
      </c>
      <c r="E16" s="33" t="s">
        <v>20</v>
      </c>
      <c r="F16" s="65">
        <f ca="1">NOW()+15018.5+$C$5/24</f>
        <v>60312.782457986112</v>
      </c>
    </row>
    <row r="17" spans="1:31" s="25" customFormat="1" ht="12.95" customHeight="1">
      <c r="A17" s="33" t="s">
        <v>21</v>
      </c>
      <c r="C17" s="25">
        <f>COUNT(C21:C2189)</f>
        <v>75</v>
      </c>
      <c r="E17" s="33" t="s">
        <v>22</v>
      </c>
      <c r="F17" s="36">
        <f ca="1">ROUND(2*(F16-$C$7)/$C$8,0)/2+F15</f>
        <v>39435</v>
      </c>
    </row>
    <row r="18" spans="1:31" s="25" customFormat="1" ht="12.95" customHeight="1">
      <c r="A18" s="28" t="s">
        <v>23</v>
      </c>
      <c r="C18" s="29">
        <f ca="1">+C15</f>
        <v>59926.787473801669</v>
      </c>
      <c r="D18" s="30">
        <f ca="1">+C16</f>
        <v>0.68700003824422717</v>
      </c>
      <c r="E18" s="33" t="s">
        <v>24</v>
      </c>
      <c r="F18" s="36">
        <f ca="1">ROUND(2*(F16-$C$15)/$C$16,0)/2+F15</f>
        <v>563</v>
      </c>
    </row>
    <row r="19" spans="1:31" s="25" customFormat="1" ht="12.95" customHeight="1">
      <c r="E19" s="33" t="s">
        <v>25</v>
      </c>
      <c r="F19" s="40">
        <f ca="1">+$C$15+$C$16*F18-15018.5-$C$5/24</f>
        <v>45295.464328666501</v>
      </c>
    </row>
    <row r="20" spans="1:31" s="25" customFormat="1" ht="12.95" customHeight="1">
      <c r="A20" s="37" t="s">
        <v>26</v>
      </c>
      <c r="B20" s="37" t="s">
        <v>27</v>
      </c>
      <c r="C20" s="37" t="s">
        <v>28</v>
      </c>
      <c r="D20" s="37" t="s">
        <v>29</v>
      </c>
      <c r="E20" s="37" t="s">
        <v>30</v>
      </c>
      <c r="F20" s="37" t="s">
        <v>31</v>
      </c>
      <c r="G20" s="37" t="s">
        <v>32</v>
      </c>
      <c r="H20" s="41" t="s">
        <v>33</v>
      </c>
      <c r="I20" s="41" t="s">
        <v>34</v>
      </c>
      <c r="J20" s="41" t="s">
        <v>35</v>
      </c>
      <c r="K20" s="41" t="s">
        <v>36</v>
      </c>
      <c r="L20" s="41" t="s">
        <v>37</v>
      </c>
      <c r="M20" s="41" t="s">
        <v>38</v>
      </c>
      <c r="N20" s="41" t="s">
        <v>39</v>
      </c>
      <c r="O20" s="41" t="s">
        <v>40</v>
      </c>
      <c r="P20" s="41" t="s">
        <v>41</v>
      </c>
      <c r="Q20" s="37" t="s">
        <v>42</v>
      </c>
    </row>
    <row r="21" spans="1:31" s="25" customFormat="1" ht="12.95" customHeight="1">
      <c r="A21" s="44" t="s">
        <v>44</v>
      </c>
      <c r="B21" s="45" t="s">
        <v>45</v>
      </c>
      <c r="C21" s="44">
        <v>29344.296999999999</v>
      </c>
      <c r="D21" s="5"/>
      <c r="E21" s="25">
        <f t="shared" ref="E21:E52" si="0">+(C21-C$7)/C$8</f>
        <v>-5642.0149301634201</v>
      </c>
      <c r="F21" s="25">
        <f t="shared" ref="F21:F44" si="1">ROUND(2*E21,0)/2</f>
        <v>-5642</v>
      </c>
      <c r="G21" s="25">
        <f>+C21-(C$7+F21*C$8)</f>
        <v>-1.0257400001137285E-2</v>
      </c>
      <c r="H21" s="25">
        <f>+G21</f>
        <v>-1.0257400001137285E-2</v>
      </c>
      <c r="Q21" s="66">
        <f t="shared" ref="Q21:Q52" si="2">+C21-15018.5</f>
        <v>14325.796999999999</v>
      </c>
    </row>
    <row r="22" spans="1:31" s="25" customFormat="1" ht="12.95" customHeight="1">
      <c r="A22" s="44" t="s">
        <v>44</v>
      </c>
      <c r="B22" s="45" t="s">
        <v>45</v>
      </c>
      <c r="C22" s="44">
        <v>30382.414000000001</v>
      </c>
      <c r="D22" s="5"/>
      <c r="E22" s="25">
        <f t="shared" si="0"/>
        <v>-4130.9832403551954</v>
      </c>
      <c r="F22" s="25">
        <f t="shared" si="1"/>
        <v>-4131</v>
      </c>
      <c r="G22" s="25">
        <f>+C22-(C$7+F22*C$8)</f>
        <v>1.151430000027176E-2</v>
      </c>
      <c r="H22" s="25">
        <f>+G22</f>
        <v>1.151430000027176E-2</v>
      </c>
      <c r="Q22" s="66">
        <f t="shared" si="2"/>
        <v>15363.914000000001</v>
      </c>
    </row>
    <row r="23" spans="1:31" s="25" customFormat="1" ht="12.95" customHeight="1">
      <c r="A23" s="44" t="s">
        <v>44</v>
      </c>
      <c r="B23" s="45" t="s">
        <v>45</v>
      </c>
      <c r="C23" s="44">
        <v>31846.448</v>
      </c>
      <c r="E23" s="25">
        <f t="shared" si="0"/>
        <v>-2000.0078599725521</v>
      </c>
      <c r="F23" s="25">
        <f t="shared" si="1"/>
        <v>-2000</v>
      </c>
      <c r="G23" s="25">
        <f>+C23-(C$7+F23*C$8)</f>
        <v>-5.4000000018277206E-3</v>
      </c>
      <c r="H23" s="25">
        <f>+G23</f>
        <v>-5.4000000018277206E-3</v>
      </c>
      <c r="Q23" s="66">
        <f t="shared" si="2"/>
        <v>16827.948</v>
      </c>
    </row>
    <row r="24" spans="1:31" s="25" customFormat="1" ht="12.95" customHeight="1">
      <c r="A24" s="25" t="s">
        <v>46</v>
      </c>
      <c r="C24" s="47">
        <v>33220.504000000001</v>
      </c>
      <c r="D24" s="38" t="s">
        <v>16</v>
      </c>
      <c r="E24" s="25">
        <f t="shared" si="0"/>
        <v>0</v>
      </c>
      <c r="F24" s="25">
        <f t="shared" si="1"/>
        <v>0</v>
      </c>
      <c r="H24" s="25">
        <v>0</v>
      </c>
      <c r="Q24" s="66">
        <f t="shared" si="2"/>
        <v>18202.004000000001</v>
      </c>
    </row>
    <row r="25" spans="1:31" s="25" customFormat="1" ht="12.95" customHeight="1">
      <c r="A25" s="44" t="s">
        <v>44</v>
      </c>
      <c r="B25" s="45" t="s">
        <v>45</v>
      </c>
      <c r="C25" s="44">
        <v>33220.512999999999</v>
      </c>
      <c r="E25" s="25">
        <f t="shared" si="0"/>
        <v>1.3099954249422202E-2</v>
      </c>
      <c r="F25" s="25">
        <f t="shared" si="1"/>
        <v>0</v>
      </c>
      <c r="G25" s="25">
        <f t="shared" ref="G25:G56" si="3">+C25-(C$7+F25*C$8)</f>
        <v>8.9999999981955625E-3</v>
      </c>
      <c r="H25" s="25">
        <f>+G25</f>
        <v>8.9999999981955625E-3</v>
      </c>
      <c r="Q25" s="66">
        <f t="shared" si="2"/>
        <v>18202.012999999999</v>
      </c>
    </row>
    <row r="26" spans="1:31" s="25" customFormat="1" ht="12.95" customHeight="1">
      <c r="A26" s="44" t="s">
        <v>44</v>
      </c>
      <c r="B26" s="45" t="s">
        <v>45</v>
      </c>
      <c r="C26" s="44">
        <v>34768.379000000001</v>
      </c>
      <c r="E26" s="25">
        <f t="shared" si="0"/>
        <v>2253.010187543312</v>
      </c>
      <c r="F26" s="25">
        <f t="shared" si="1"/>
        <v>2253</v>
      </c>
      <c r="G26" s="25">
        <f t="shared" si="3"/>
        <v>6.9990999982110225E-3</v>
      </c>
      <c r="H26" s="25">
        <f>+G26</f>
        <v>6.9990999982110225E-3</v>
      </c>
      <c r="Q26" s="66">
        <f t="shared" si="2"/>
        <v>19749.879000000001</v>
      </c>
    </row>
    <row r="27" spans="1:31" s="25" customFormat="1" ht="12.95" customHeight="1">
      <c r="A27" s="44" t="s">
        <v>44</v>
      </c>
      <c r="B27" s="45" t="s">
        <v>45</v>
      </c>
      <c r="C27" s="44">
        <v>35161.351000000002</v>
      </c>
      <c r="E27" s="25">
        <f t="shared" si="0"/>
        <v>2825.0007678028769</v>
      </c>
      <c r="F27" s="25">
        <f t="shared" si="1"/>
        <v>2825</v>
      </c>
      <c r="G27" s="25">
        <f t="shared" si="3"/>
        <v>5.2750000031664968E-4</v>
      </c>
      <c r="H27" s="25">
        <f>+G27</f>
        <v>5.2750000031664968E-4</v>
      </c>
      <c r="Q27" s="66">
        <f t="shared" si="2"/>
        <v>20142.851000000002</v>
      </c>
    </row>
    <row r="28" spans="1:31" s="25" customFormat="1" ht="12.95" customHeight="1">
      <c r="A28" s="44" t="s">
        <v>44</v>
      </c>
      <c r="B28" s="45" t="s">
        <v>45</v>
      </c>
      <c r="C28" s="44">
        <v>36983.343000000001</v>
      </c>
      <c r="E28" s="25">
        <f t="shared" si="0"/>
        <v>5477.0020842027216</v>
      </c>
      <c r="F28" s="25">
        <f t="shared" si="1"/>
        <v>5477</v>
      </c>
      <c r="G28" s="25">
        <f t="shared" si="3"/>
        <v>1.4318999965325929E-3</v>
      </c>
      <c r="H28" s="25">
        <f>+G28</f>
        <v>1.4318999965325929E-3</v>
      </c>
      <c r="Q28" s="66">
        <f t="shared" si="2"/>
        <v>21964.843000000001</v>
      </c>
    </row>
    <row r="29" spans="1:31" s="25" customFormat="1" ht="12.95" customHeight="1">
      <c r="A29" s="25" t="s">
        <v>47</v>
      </c>
      <c r="C29" s="48">
        <v>42450.345999999998</v>
      </c>
      <c r="D29" s="47"/>
      <c r="E29" s="25">
        <f t="shared" si="0"/>
        <v>13434.500883737466</v>
      </c>
      <c r="F29" s="25">
        <f t="shared" si="1"/>
        <v>13434.5</v>
      </c>
      <c r="G29" s="25">
        <f t="shared" si="3"/>
        <v>6.0714999563060701E-4</v>
      </c>
      <c r="I29" s="25">
        <f>+G29</f>
        <v>6.0714999563060701E-4</v>
      </c>
      <c r="Q29" s="66">
        <f t="shared" si="2"/>
        <v>27431.845999999998</v>
      </c>
      <c r="AB29" s="25">
        <v>9</v>
      </c>
      <c r="AC29" s="25" t="s">
        <v>48</v>
      </c>
      <c r="AE29" s="25" t="s">
        <v>49</v>
      </c>
    </row>
    <row r="30" spans="1:31" s="25" customFormat="1" ht="12.95" customHeight="1">
      <c r="A30" s="25" t="s">
        <v>50</v>
      </c>
      <c r="C30" s="48">
        <v>43496.658000000003</v>
      </c>
      <c r="D30" s="47"/>
      <c r="E30" s="25">
        <f t="shared" si="0"/>
        <v>14957.460809667422</v>
      </c>
      <c r="F30" s="25">
        <f t="shared" si="1"/>
        <v>14957.5</v>
      </c>
      <c r="G30" s="25">
        <f t="shared" si="3"/>
        <v>-2.6924749996396713E-2</v>
      </c>
      <c r="I30" s="25">
        <f>+G30</f>
        <v>-2.6924749996396713E-2</v>
      </c>
      <c r="Q30" s="66">
        <f t="shared" si="2"/>
        <v>28478.158000000003</v>
      </c>
      <c r="AB30" s="25">
        <v>6</v>
      </c>
      <c r="AC30" s="25" t="s">
        <v>48</v>
      </c>
      <c r="AE30" s="25" t="s">
        <v>49</v>
      </c>
    </row>
    <row r="31" spans="1:31" s="25" customFormat="1" ht="12.95" customHeight="1">
      <c r="A31" s="44" t="s">
        <v>51</v>
      </c>
      <c r="B31" s="45" t="s">
        <v>45</v>
      </c>
      <c r="C31" s="44">
        <v>47928.281000000003</v>
      </c>
      <c r="E31" s="25">
        <f t="shared" si="0"/>
        <v>21407.911761037045</v>
      </c>
      <c r="F31" s="25">
        <f t="shared" si="1"/>
        <v>21408</v>
      </c>
      <c r="G31" s="25">
        <f t="shared" si="3"/>
        <v>-6.0622399993008003E-2</v>
      </c>
      <c r="I31" s="25">
        <f>+G31</f>
        <v>-6.0622399993008003E-2</v>
      </c>
      <c r="O31" s="25">
        <f t="shared" ref="O31:O62" ca="1" si="4">+C$11+C$12*$F31</f>
        <v>-9.8165337583263623E-3</v>
      </c>
      <c r="Q31" s="66">
        <f t="shared" si="2"/>
        <v>32909.781000000003</v>
      </c>
    </row>
    <row r="32" spans="1:31" s="25" customFormat="1" ht="12.95" customHeight="1">
      <c r="A32" s="44" t="s">
        <v>52</v>
      </c>
      <c r="B32" s="45" t="s">
        <v>45</v>
      </c>
      <c r="C32" s="44">
        <v>48290.326000000001</v>
      </c>
      <c r="E32" s="25">
        <f t="shared" si="0"/>
        <v>21934.886531835145</v>
      </c>
      <c r="F32" s="25">
        <f t="shared" si="1"/>
        <v>21935</v>
      </c>
      <c r="G32" s="25">
        <f t="shared" si="3"/>
        <v>-7.7955499997187871E-2</v>
      </c>
      <c r="I32" s="25">
        <f>+G32</f>
        <v>-7.7955499997187871E-2</v>
      </c>
      <c r="O32" s="25">
        <f t="shared" ca="1" si="4"/>
        <v>-2.3129479050555068E-2</v>
      </c>
      <c r="Q32" s="66">
        <f t="shared" si="2"/>
        <v>33271.826000000001</v>
      </c>
    </row>
    <row r="33" spans="1:17" s="25" customFormat="1" ht="12.95" customHeight="1">
      <c r="A33" s="25" t="s">
        <v>53</v>
      </c>
      <c r="B33" s="49" t="s">
        <v>54</v>
      </c>
      <c r="C33" s="50">
        <v>50444.448199999999</v>
      </c>
      <c r="D33" s="50">
        <v>8.0000000000000004E-4</v>
      </c>
      <c r="E33" s="25">
        <f t="shared" si="0"/>
        <v>25070.320117759853</v>
      </c>
      <c r="F33" s="25">
        <f t="shared" si="1"/>
        <v>25070.5</v>
      </c>
      <c r="G33" s="25">
        <f t="shared" si="3"/>
        <v>-0.1235836499981815</v>
      </c>
      <c r="J33" s="25">
        <f t="shared" ref="J33:J45" si="5">+G33</f>
        <v>-0.1235836499981815</v>
      </c>
      <c r="O33" s="25">
        <f t="shared" ca="1" si="4"/>
        <v>-0.10233771427594984</v>
      </c>
      <c r="Q33" s="66">
        <f t="shared" si="2"/>
        <v>35425.948199999999</v>
      </c>
    </row>
    <row r="34" spans="1:17" s="25" customFormat="1" ht="12.95" customHeight="1">
      <c r="A34" s="25" t="s">
        <v>55</v>
      </c>
      <c r="B34" s="38" t="s">
        <v>54</v>
      </c>
      <c r="C34" s="47">
        <v>50508.321600000003</v>
      </c>
      <c r="D34" s="47">
        <v>1.1000000000000001E-3</v>
      </c>
      <c r="E34" s="25">
        <f t="shared" si="0"/>
        <v>25163.291075306839</v>
      </c>
      <c r="F34" s="25">
        <f t="shared" si="1"/>
        <v>25163.5</v>
      </c>
      <c r="G34" s="25">
        <f t="shared" si="3"/>
        <v>-0.14353655000013532</v>
      </c>
      <c r="J34" s="25">
        <f t="shared" si="5"/>
        <v>-0.14353655000013532</v>
      </c>
      <c r="O34" s="25">
        <f t="shared" ca="1" si="4"/>
        <v>-0.10468705756281371</v>
      </c>
      <c r="Q34" s="66">
        <f t="shared" si="2"/>
        <v>35489.821600000003</v>
      </c>
    </row>
    <row r="35" spans="1:17" s="25" customFormat="1" ht="12.95" customHeight="1">
      <c r="A35" s="25" t="s">
        <v>53</v>
      </c>
      <c r="B35" s="49" t="s">
        <v>54</v>
      </c>
      <c r="C35" s="50">
        <v>50508.321799999998</v>
      </c>
      <c r="D35" s="50">
        <v>1.9E-3</v>
      </c>
      <c r="E35" s="25">
        <f t="shared" si="0"/>
        <v>25163.291366416925</v>
      </c>
      <c r="F35" s="25">
        <f t="shared" si="1"/>
        <v>25163.5</v>
      </c>
      <c r="G35" s="25">
        <f t="shared" si="3"/>
        <v>-0.14333655000518775</v>
      </c>
      <c r="J35" s="25">
        <f t="shared" si="5"/>
        <v>-0.14333655000518775</v>
      </c>
      <c r="O35" s="25">
        <f t="shared" ca="1" si="4"/>
        <v>-0.10468705756281371</v>
      </c>
      <c r="Q35" s="66">
        <f t="shared" si="2"/>
        <v>35489.821799999998</v>
      </c>
    </row>
    <row r="36" spans="1:17" s="25" customFormat="1" ht="12.95" customHeight="1">
      <c r="A36" s="25" t="s">
        <v>53</v>
      </c>
      <c r="B36" s="49" t="s">
        <v>54</v>
      </c>
      <c r="C36" s="50">
        <v>50519.308700000001</v>
      </c>
      <c r="D36" s="50">
        <v>1.1999999999999999E-3</v>
      </c>
      <c r="E36" s="25">
        <f t="shared" si="0"/>
        <v>25179.283353902691</v>
      </c>
      <c r="F36" s="25">
        <f t="shared" si="1"/>
        <v>25179.5</v>
      </c>
      <c r="G36" s="25">
        <f t="shared" si="3"/>
        <v>-0.14884134999738308</v>
      </c>
      <c r="J36" s="25">
        <f t="shared" si="5"/>
        <v>-0.14884134999738308</v>
      </c>
      <c r="O36" s="25">
        <f t="shared" ca="1" si="4"/>
        <v>-0.10509124565517747</v>
      </c>
      <c r="Q36" s="66">
        <f t="shared" si="2"/>
        <v>35500.808700000001</v>
      </c>
    </row>
    <row r="37" spans="1:17" s="25" customFormat="1" ht="12.95" customHeight="1">
      <c r="A37" s="25" t="s">
        <v>53</v>
      </c>
      <c r="B37" s="49" t="s">
        <v>54</v>
      </c>
      <c r="C37" s="50">
        <v>50530.299099999997</v>
      </c>
      <c r="D37" s="50">
        <v>2.3999999999999998E-3</v>
      </c>
      <c r="E37" s="25">
        <f t="shared" si="0"/>
        <v>25195.280435815097</v>
      </c>
      <c r="F37" s="25">
        <f t="shared" si="1"/>
        <v>25195.5</v>
      </c>
      <c r="G37" s="25">
        <f t="shared" si="3"/>
        <v>-0.15084614999796031</v>
      </c>
      <c r="J37" s="25">
        <f t="shared" si="5"/>
        <v>-0.15084614999796031</v>
      </c>
      <c r="O37" s="25">
        <f t="shared" ca="1" si="4"/>
        <v>-0.10549543374754111</v>
      </c>
      <c r="Q37" s="66">
        <f t="shared" si="2"/>
        <v>35511.799099999997</v>
      </c>
    </row>
    <row r="38" spans="1:17" s="25" customFormat="1" ht="12.95" customHeight="1">
      <c r="A38" s="25" t="s">
        <v>55</v>
      </c>
      <c r="B38" s="51"/>
      <c r="C38" s="47">
        <v>50743.638800000001</v>
      </c>
      <c r="D38" s="47">
        <v>1.1000000000000001E-3</v>
      </c>
      <c r="E38" s="25">
        <f t="shared" si="0"/>
        <v>25505.807136942411</v>
      </c>
      <c r="F38" s="25">
        <f t="shared" si="1"/>
        <v>25506</v>
      </c>
      <c r="G38" s="25">
        <f t="shared" si="3"/>
        <v>-0.13250179999886313</v>
      </c>
      <c r="J38" s="25">
        <f t="shared" si="5"/>
        <v>-0.13250179999886313</v>
      </c>
      <c r="O38" s="25">
        <f t="shared" ca="1" si="4"/>
        <v>-0.11333920891497373</v>
      </c>
      <c r="Q38" s="66">
        <f t="shared" si="2"/>
        <v>35725.138800000001</v>
      </c>
    </row>
    <row r="39" spans="1:17" s="25" customFormat="1" ht="12.95" customHeight="1">
      <c r="A39" s="25" t="s">
        <v>55</v>
      </c>
      <c r="B39" s="38" t="s">
        <v>54</v>
      </c>
      <c r="C39" s="47">
        <v>50799.592199999999</v>
      </c>
      <c r="D39" s="47">
        <v>5.0000000000000001E-4</v>
      </c>
      <c r="E39" s="25">
        <f t="shared" si="0"/>
        <v>25587.250134747585</v>
      </c>
      <c r="F39" s="25">
        <f t="shared" si="1"/>
        <v>25587.5</v>
      </c>
      <c r="G39" s="25">
        <f t="shared" si="3"/>
        <v>-0.17166374999942491</v>
      </c>
      <c r="J39" s="25">
        <f t="shared" si="5"/>
        <v>-0.17166374999942491</v>
      </c>
      <c r="O39" s="25">
        <f t="shared" ca="1" si="4"/>
        <v>-0.11539804201045123</v>
      </c>
      <c r="Q39" s="66">
        <f t="shared" si="2"/>
        <v>35781.092199999999</v>
      </c>
    </row>
    <row r="40" spans="1:17" s="25" customFormat="1" ht="12.95" customHeight="1">
      <c r="A40" s="25" t="s">
        <v>55</v>
      </c>
      <c r="B40" s="38" t="s">
        <v>54</v>
      </c>
      <c r="C40" s="47">
        <v>50824.376300000004</v>
      </c>
      <c r="D40" s="47">
        <v>4.0000000000000002E-4</v>
      </c>
      <c r="E40" s="25">
        <f t="shared" si="0"/>
        <v>25623.324643211836</v>
      </c>
      <c r="F40" s="25">
        <f t="shared" si="1"/>
        <v>25623.5</v>
      </c>
      <c r="G40" s="25">
        <f t="shared" si="3"/>
        <v>-0.12047454999992624</v>
      </c>
      <c r="J40" s="25">
        <f t="shared" si="5"/>
        <v>-0.12047454999992624</v>
      </c>
      <c r="O40" s="25">
        <f t="shared" ca="1" si="4"/>
        <v>-0.11630746521826951</v>
      </c>
      <c r="Q40" s="66">
        <f t="shared" si="2"/>
        <v>35805.876300000004</v>
      </c>
    </row>
    <row r="41" spans="1:17" s="25" customFormat="1" ht="12.95" customHeight="1">
      <c r="A41" s="25" t="s">
        <v>55</v>
      </c>
      <c r="B41" s="51"/>
      <c r="C41" s="47">
        <v>50825.399599999997</v>
      </c>
      <c r="D41" s="47">
        <v>2.9999999999999997E-4</v>
      </c>
      <c r="E41" s="25">
        <f t="shared" si="0"/>
        <v>25624.814108010283</v>
      </c>
      <c r="F41" s="25">
        <f t="shared" si="1"/>
        <v>25625</v>
      </c>
      <c r="G41" s="25">
        <f t="shared" si="3"/>
        <v>-0.1277124999978696</v>
      </c>
      <c r="J41" s="25">
        <f t="shared" si="5"/>
        <v>-0.1277124999978696</v>
      </c>
      <c r="O41" s="25">
        <f t="shared" ca="1" si="4"/>
        <v>-0.11634535785192868</v>
      </c>
      <c r="Q41" s="66">
        <f t="shared" si="2"/>
        <v>35806.899599999997</v>
      </c>
    </row>
    <row r="42" spans="1:17" s="25" customFormat="1" ht="12.95" customHeight="1">
      <c r="A42" s="25" t="s">
        <v>55</v>
      </c>
      <c r="B42" s="38" t="s">
        <v>54</v>
      </c>
      <c r="C42" s="47">
        <v>50839.45</v>
      </c>
      <c r="D42" s="47">
        <v>2.0000000000000001E-4</v>
      </c>
      <c r="E42" s="25">
        <f t="shared" si="0"/>
        <v>25645.265174368393</v>
      </c>
      <c r="F42" s="25">
        <f t="shared" si="1"/>
        <v>25645.5</v>
      </c>
      <c r="G42" s="25">
        <f t="shared" si="3"/>
        <v>-0.16133115000411635</v>
      </c>
      <c r="J42" s="25">
        <f t="shared" si="5"/>
        <v>-0.16133115000411635</v>
      </c>
      <c r="O42" s="25">
        <f t="shared" ca="1" si="4"/>
        <v>-0.11686322384526959</v>
      </c>
      <c r="Q42" s="66">
        <f t="shared" si="2"/>
        <v>35820.949999999997</v>
      </c>
    </row>
    <row r="43" spans="1:17" s="25" customFormat="1" ht="12.95" customHeight="1">
      <c r="A43" s="5" t="s">
        <v>55</v>
      </c>
      <c r="B43" s="7" t="s">
        <v>54</v>
      </c>
      <c r="C43" s="6">
        <v>50855.291700000002</v>
      </c>
      <c r="D43" s="6">
        <v>2.0000000000000001E-4</v>
      </c>
      <c r="E43" s="25">
        <f t="shared" si="0"/>
        <v>25668.323568287808</v>
      </c>
      <c r="F43" s="25">
        <f t="shared" si="1"/>
        <v>25668.5</v>
      </c>
      <c r="G43" s="25">
        <f t="shared" si="3"/>
        <v>-0.12121304999891436</v>
      </c>
      <c r="J43" s="25">
        <f t="shared" si="5"/>
        <v>-0.12121304999891436</v>
      </c>
      <c r="O43" s="25">
        <f t="shared" ca="1" si="4"/>
        <v>-0.11744424422804245</v>
      </c>
      <c r="Q43" s="66">
        <f t="shared" si="2"/>
        <v>35836.791700000002</v>
      </c>
    </row>
    <row r="44" spans="1:17" s="25" customFormat="1" ht="12.95" customHeight="1">
      <c r="A44" s="5" t="s">
        <v>55</v>
      </c>
      <c r="B44" s="52"/>
      <c r="C44" s="6">
        <v>51165.467600000004</v>
      </c>
      <c r="D44" s="6">
        <v>1E-4</v>
      </c>
      <c r="E44" s="25">
        <f t="shared" si="0"/>
        <v>26119.800246075371</v>
      </c>
      <c r="F44" s="25">
        <f t="shared" si="1"/>
        <v>26120</v>
      </c>
      <c r="G44" s="25">
        <f t="shared" si="3"/>
        <v>-0.13723599999502767</v>
      </c>
      <c r="J44" s="25">
        <f t="shared" si="5"/>
        <v>-0.13723599999502767</v>
      </c>
      <c r="O44" s="25">
        <f t="shared" ca="1" si="4"/>
        <v>-0.12884992695942998</v>
      </c>
      <c r="Q44" s="66">
        <f t="shared" si="2"/>
        <v>36146.967600000004</v>
      </c>
    </row>
    <row r="45" spans="1:17" s="25" customFormat="1" ht="12.95" customHeight="1">
      <c r="A45" s="5" t="s">
        <v>56</v>
      </c>
      <c r="B45" s="5"/>
      <c r="C45" s="6">
        <v>51252.339899999999</v>
      </c>
      <c r="D45" s="6">
        <v>2.0000000000000001E-4</v>
      </c>
      <c r="E45" s="25">
        <f t="shared" si="0"/>
        <v>26246.247263383168</v>
      </c>
      <c r="F45" s="67">
        <f>ROUND(2*E45,0)/2+0.5</f>
        <v>26246.5</v>
      </c>
      <c r="G45" s="25">
        <f t="shared" si="3"/>
        <v>-0.17363645000295946</v>
      </c>
      <c r="J45" s="25">
        <f t="shared" si="5"/>
        <v>-0.17363645000295946</v>
      </c>
      <c r="O45" s="25">
        <f t="shared" ca="1" si="4"/>
        <v>-0.13204553906468031</v>
      </c>
      <c r="Q45" s="66">
        <f t="shared" si="2"/>
        <v>36233.839899999999</v>
      </c>
    </row>
    <row r="46" spans="1:17" s="25" customFormat="1" ht="12.95" customHeight="1">
      <c r="A46" s="6" t="s">
        <v>57</v>
      </c>
      <c r="B46" s="7" t="s">
        <v>45</v>
      </c>
      <c r="C46" s="6">
        <v>52321.351900000001</v>
      </c>
      <c r="D46" s="6" t="s">
        <v>58</v>
      </c>
      <c r="E46" s="25">
        <f t="shared" si="0"/>
        <v>27802.24818503773</v>
      </c>
      <c r="F46" s="67">
        <f>ROUND(2*E46,0)/2+0.5</f>
        <v>27802.5</v>
      </c>
      <c r="G46" s="25">
        <f t="shared" si="3"/>
        <v>-0.1730032499981462</v>
      </c>
      <c r="K46" s="25">
        <f>+G46</f>
        <v>-0.1730032499981462</v>
      </c>
      <c r="O46" s="25">
        <f t="shared" ca="1" si="4"/>
        <v>-0.17135283104704813</v>
      </c>
      <c r="Q46" s="66">
        <f t="shared" si="2"/>
        <v>37302.851900000001</v>
      </c>
    </row>
    <row r="47" spans="1:17" s="25" customFormat="1" ht="12.95" customHeight="1">
      <c r="A47" s="44" t="s">
        <v>59</v>
      </c>
      <c r="B47" s="45" t="s">
        <v>45</v>
      </c>
      <c r="C47" s="44">
        <v>52327.997100000001</v>
      </c>
      <c r="E47" s="25">
        <f t="shared" si="0"/>
        <v>27811.920609037254</v>
      </c>
      <c r="F47" s="25">
        <f>ROUND(2*E47,0)/2</f>
        <v>27812</v>
      </c>
      <c r="G47" s="25">
        <f t="shared" si="3"/>
        <v>-5.4543600002944004E-2</v>
      </c>
      <c r="K47" s="25">
        <f>+G47</f>
        <v>-5.4543600002944004E-2</v>
      </c>
      <c r="O47" s="25">
        <f t="shared" ca="1" si="4"/>
        <v>-0.17159281772688906</v>
      </c>
      <c r="Q47" s="66">
        <f t="shared" si="2"/>
        <v>37309.497100000001</v>
      </c>
    </row>
    <row r="48" spans="1:17" s="25" customFormat="1" ht="12.95" customHeight="1">
      <c r="A48" s="44" t="s">
        <v>59</v>
      </c>
      <c r="B48" s="45" t="s">
        <v>45</v>
      </c>
      <c r="C48" s="44">
        <v>52354.056700000001</v>
      </c>
      <c r="E48" s="25">
        <f t="shared" si="0"/>
        <v>27849.851672129109</v>
      </c>
      <c r="F48" s="25">
        <f>ROUND(2*E48,0)/2</f>
        <v>27850</v>
      </c>
      <c r="G48" s="25">
        <f t="shared" si="3"/>
        <v>-0.10190500000317115</v>
      </c>
      <c r="K48" s="25">
        <f>+G48</f>
        <v>-0.10190500000317115</v>
      </c>
      <c r="O48" s="25">
        <f t="shared" ca="1" si="4"/>
        <v>-0.17255276444625289</v>
      </c>
      <c r="Q48" s="66">
        <f t="shared" si="2"/>
        <v>37335.556700000001</v>
      </c>
    </row>
    <row r="49" spans="1:17" s="25" customFormat="1" ht="12.95" customHeight="1">
      <c r="A49" s="44" t="s">
        <v>59</v>
      </c>
      <c r="B49" s="45" t="s">
        <v>45</v>
      </c>
      <c r="C49" s="44">
        <v>52619.268600000003</v>
      </c>
      <c r="E49" s="25">
        <f t="shared" si="0"/>
        <v>28235.880978473433</v>
      </c>
      <c r="F49" s="25">
        <f>ROUND(2*E49,0)/2</f>
        <v>28236</v>
      </c>
      <c r="G49" s="25">
        <f t="shared" si="3"/>
        <v>-8.1770799995865673E-2</v>
      </c>
      <c r="K49" s="25">
        <f>+G49</f>
        <v>-8.1770799995865673E-2</v>
      </c>
      <c r="O49" s="25">
        <f t="shared" ca="1" si="4"/>
        <v>-0.18230380217452657</v>
      </c>
      <c r="Q49" s="66">
        <f t="shared" si="2"/>
        <v>37600.768600000003</v>
      </c>
    </row>
    <row r="50" spans="1:17" s="25" customFormat="1" ht="12.95" customHeight="1">
      <c r="A50" s="5" t="s">
        <v>60</v>
      </c>
      <c r="B50" s="7" t="s">
        <v>54</v>
      </c>
      <c r="C50" s="6">
        <v>52690.2955</v>
      </c>
      <c r="D50" s="6">
        <v>1E-4</v>
      </c>
      <c r="E50" s="25">
        <f t="shared" si="0"/>
        <v>28339.264216325078</v>
      </c>
      <c r="F50" s="25">
        <f>ROUND(2*E50,0)/2</f>
        <v>28339.5</v>
      </c>
      <c r="G50" s="25">
        <f t="shared" si="3"/>
        <v>-0.16198934999556514</v>
      </c>
      <c r="J50" s="25">
        <f>+G50</f>
        <v>-0.16198934999556514</v>
      </c>
      <c r="O50" s="25">
        <f t="shared" ca="1" si="4"/>
        <v>-0.18491839389700415</v>
      </c>
      <c r="Q50" s="66">
        <f t="shared" si="2"/>
        <v>37671.7955</v>
      </c>
    </row>
    <row r="51" spans="1:17" s="25" customFormat="1" ht="12.95" customHeight="1">
      <c r="A51" s="5" t="s">
        <v>61</v>
      </c>
      <c r="B51" s="7" t="s">
        <v>54</v>
      </c>
      <c r="C51" s="6">
        <v>52690.2955</v>
      </c>
      <c r="D51" s="6">
        <v>1E-4</v>
      </c>
      <c r="E51" s="25">
        <f t="shared" si="0"/>
        <v>28339.264216325078</v>
      </c>
      <c r="F51" s="25">
        <f>ROUND(2*E51,0)/2</f>
        <v>28339.5</v>
      </c>
      <c r="G51" s="25">
        <f t="shared" si="3"/>
        <v>-0.16198934999556514</v>
      </c>
      <c r="J51" s="25">
        <f>+G51</f>
        <v>-0.16198934999556514</v>
      </c>
      <c r="O51" s="25">
        <f t="shared" ca="1" si="4"/>
        <v>-0.18491839389700415</v>
      </c>
      <c r="Q51" s="66">
        <f t="shared" si="2"/>
        <v>37671.7955</v>
      </c>
    </row>
    <row r="52" spans="1:17" s="25" customFormat="1" ht="12.95" customHeight="1">
      <c r="A52" s="8" t="s">
        <v>62</v>
      </c>
      <c r="B52" s="9" t="s">
        <v>45</v>
      </c>
      <c r="C52" s="8">
        <v>52981.567600000002</v>
      </c>
      <c r="D52" s="8">
        <v>1E-4</v>
      </c>
      <c r="E52" s="25">
        <f t="shared" si="0"/>
        <v>28763.22545909154</v>
      </c>
      <c r="F52" s="67">
        <f>ROUND(2*E52,0)/2+0.5</f>
        <v>28763.5</v>
      </c>
      <c r="G52" s="25">
        <f t="shared" si="3"/>
        <v>-0.18861654999636812</v>
      </c>
      <c r="K52" s="25">
        <f t="shared" ref="K52:K68" si="6">+G52</f>
        <v>-0.18861654999636812</v>
      </c>
      <c r="O52" s="25">
        <f t="shared" ca="1" si="4"/>
        <v>-0.19562937834464167</v>
      </c>
      <c r="Q52" s="66">
        <f t="shared" si="2"/>
        <v>37963.067600000002</v>
      </c>
    </row>
    <row r="53" spans="1:17" s="25" customFormat="1" ht="12.95" customHeight="1">
      <c r="A53" s="6" t="s">
        <v>62</v>
      </c>
      <c r="B53" s="7" t="s">
        <v>45</v>
      </c>
      <c r="C53" s="6">
        <v>53062.304499999998</v>
      </c>
      <c r="D53" s="6">
        <v>1E-4</v>
      </c>
      <c r="E53" s="25">
        <f t="shared" ref="E53:E84" si="7">+(C53-C$7)/C$8</f>
        <v>28880.742092030672</v>
      </c>
      <c r="F53" s="67">
        <f>ROUND(2*E53,0)/2+0.5</f>
        <v>28881</v>
      </c>
      <c r="G53" s="25">
        <f t="shared" si="3"/>
        <v>-0.17718929999682587</v>
      </c>
      <c r="K53" s="25">
        <f t="shared" si="6"/>
        <v>-0.17718929999682587</v>
      </c>
      <c r="O53" s="25">
        <f t="shared" ca="1" si="4"/>
        <v>-0.19859763464793745</v>
      </c>
      <c r="Q53" s="66">
        <f t="shared" ref="Q53:Q84" si="8">+C53-15018.5</f>
        <v>38043.804499999998</v>
      </c>
    </row>
    <row r="54" spans="1:17" s="25" customFormat="1" ht="12.95" customHeight="1">
      <c r="A54" s="8" t="s">
        <v>63</v>
      </c>
      <c r="B54" s="9" t="s">
        <v>64</v>
      </c>
      <c r="C54" s="8">
        <v>53068.436900000001</v>
      </c>
      <c r="D54" s="8">
        <v>6.9999999999999999E-4</v>
      </c>
      <c r="E54" s="25">
        <f t="shared" si="7"/>
        <v>28889.668109747927</v>
      </c>
      <c r="F54" s="67">
        <f>ROUND(2*E54,0)/2+0.5</f>
        <v>28890</v>
      </c>
      <c r="G54" s="25">
        <f t="shared" si="3"/>
        <v>-0.22801700000127312</v>
      </c>
      <c r="K54" s="25">
        <f t="shared" si="6"/>
        <v>-0.22801700000127312</v>
      </c>
      <c r="O54" s="25">
        <f t="shared" ca="1" si="4"/>
        <v>-0.19882499044989199</v>
      </c>
      <c r="Q54" s="66">
        <f t="shared" si="8"/>
        <v>38049.936900000001</v>
      </c>
    </row>
    <row r="55" spans="1:17" s="25" customFormat="1" ht="12.95" customHeight="1">
      <c r="A55" s="8" t="s">
        <v>63</v>
      </c>
      <c r="B55" s="9" t="s">
        <v>64</v>
      </c>
      <c r="C55" s="8">
        <v>53068.436900000001</v>
      </c>
      <c r="D55" s="8">
        <v>6.9999999999999999E-4</v>
      </c>
      <c r="E55" s="25">
        <f t="shared" si="7"/>
        <v>28889.668109747927</v>
      </c>
      <c r="F55" s="67">
        <f>ROUND(2*E55,0)/2+0.5</f>
        <v>28890</v>
      </c>
      <c r="G55" s="25">
        <f t="shared" si="3"/>
        <v>-0.22801700000127312</v>
      </c>
      <c r="K55" s="25">
        <f t="shared" si="6"/>
        <v>-0.22801700000127312</v>
      </c>
      <c r="O55" s="25">
        <f t="shared" ca="1" si="4"/>
        <v>-0.19882499044989199</v>
      </c>
      <c r="Q55" s="66">
        <f t="shared" si="8"/>
        <v>38049.936900000001</v>
      </c>
    </row>
    <row r="56" spans="1:17" s="25" customFormat="1" ht="12.95" customHeight="1">
      <c r="A56" s="5" t="s">
        <v>65</v>
      </c>
      <c r="B56" s="7" t="s">
        <v>45</v>
      </c>
      <c r="C56" s="6">
        <v>53068.691800000001</v>
      </c>
      <c r="D56" s="6">
        <v>2.0000000000000001E-4</v>
      </c>
      <c r="E56" s="25">
        <f t="shared" si="7"/>
        <v>28890.039129563353</v>
      </c>
      <c r="F56" s="67">
        <f>ROUND(2*E56,0)/2+0.5</f>
        <v>28890.5</v>
      </c>
      <c r="G56" s="25">
        <f t="shared" si="3"/>
        <v>-0.31662964999850374</v>
      </c>
      <c r="K56" s="25">
        <f t="shared" si="6"/>
        <v>-0.31662964999850374</v>
      </c>
      <c r="O56" s="25">
        <f t="shared" ca="1" si="4"/>
        <v>-0.19883762132777838</v>
      </c>
      <c r="Q56" s="66">
        <f t="shared" si="8"/>
        <v>38050.191800000001</v>
      </c>
    </row>
    <row r="57" spans="1:17" s="25" customFormat="1" ht="12.95" customHeight="1">
      <c r="A57" s="44" t="s">
        <v>66</v>
      </c>
      <c r="B57" s="45" t="s">
        <v>45</v>
      </c>
      <c r="C57" s="44">
        <v>53410.297100000003</v>
      </c>
      <c r="E57" s="25">
        <f t="shared" si="7"/>
        <v>29387.262885369728</v>
      </c>
      <c r="F57" s="25">
        <f>ROUND(2*E57,0)/2</f>
        <v>29387.5</v>
      </c>
      <c r="G57" s="25">
        <f t="shared" ref="G57:G88" si="9">+C57-(C$7+F57*C$8)</f>
        <v>-0.16290374999516644</v>
      </c>
      <c r="K57" s="25">
        <f t="shared" si="6"/>
        <v>-0.16290374999516644</v>
      </c>
      <c r="O57" s="25">
        <f t="shared" ca="1" si="4"/>
        <v>-0.21139271394682524</v>
      </c>
      <c r="Q57" s="66">
        <f t="shared" si="8"/>
        <v>38391.797100000003</v>
      </c>
    </row>
    <row r="58" spans="1:17" s="25" customFormat="1" ht="12.95" customHeight="1">
      <c r="A58" s="44" t="s">
        <v>67</v>
      </c>
      <c r="B58" s="45" t="s">
        <v>45</v>
      </c>
      <c r="C58" s="44">
        <v>53690.2955</v>
      </c>
      <c r="E58" s="25">
        <f t="shared" si="7"/>
        <v>29794.814688774928</v>
      </c>
      <c r="F58" s="25">
        <f>ROUND(2*E58,0)/2</f>
        <v>29795</v>
      </c>
      <c r="G58" s="25">
        <f t="shared" si="9"/>
        <v>-0.12731350000103703</v>
      </c>
      <c r="K58" s="25">
        <f t="shared" si="6"/>
        <v>-0.12731350000103703</v>
      </c>
      <c r="O58" s="25">
        <f t="shared" ca="1" si="4"/>
        <v>-0.22168687942421261</v>
      </c>
      <c r="Q58" s="66">
        <f t="shared" si="8"/>
        <v>38671.7955</v>
      </c>
    </row>
    <row r="59" spans="1:17" s="25" customFormat="1" ht="12.95" customHeight="1">
      <c r="A59" s="44" t="s">
        <v>68</v>
      </c>
      <c r="B59" s="45" t="s">
        <v>54</v>
      </c>
      <c r="C59" s="44">
        <v>53708.215700000001</v>
      </c>
      <c r="E59" s="25">
        <f t="shared" si="7"/>
        <v>29820.898444351322</v>
      </c>
      <c r="F59" s="25">
        <f>ROUND(2*E59,0)/2</f>
        <v>29821</v>
      </c>
      <c r="G59" s="25">
        <f t="shared" si="9"/>
        <v>-6.9771299997228198E-2</v>
      </c>
      <c r="K59" s="25">
        <f t="shared" si="6"/>
        <v>-6.9771299997228198E-2</v>
      </c>
      <c r="O59" s="25">
        <f t="shared" ca="1" si="4"/>
        <v>-0.22234368507430369</v>
      </c>
      <c r="Q59" s="66">
        <f t="shared" si="8"/>
        <v>38689.715700000001</v>
      </c>
    </row>
    <row r="60" spans="1:17" s="25" customFormat="1" ht="12.95" customHeight="1">
      <c r="A60" s="44" t="s">
        <v>69</v>
      </c>
      <c r="B60" s="45" t="s">
        <v>45</v>
      </c>
      <c r="C60" s="44">
        <v>54512.273200000003</v>
      </c>
      <c r="E60" s="25">
        <f t="shared" si="7"/>
        <v>30991.244718353173</v>
      </c>
      <c r="F60" s="67">
        <f t="shared" ref="F60:F95" si="10">ROUND(2*E60,0)/2+0.5</f>
        <v>30991.5</v>
      </c>
      <c r="G60" s="25">
        <f t="shared" si="9"/>
        <v>-0.17538494999462273</v>
      </c>
      <c r="K60" s="25">
        <f t="shared" si="6"/>
        <v>-0.17538494999462273</v>
      </c>
      <c r="O60" s="25">
        <f t="shared" ca="1" si="4"/>
        <v>-0.2519125702062841</v>
      </c>
      <c r="Q60" s="66">
        <f t="shared" si="8"/>
        <v>39493.773200000003</v>
      </c>
    </row>
    <row r="61" spans="1:17" s="25" customFormat="1" ht="12.95" customHeight="1">
      <c r="A61" s="6" t="s">
        <v>70</v>
      </c>
      <c r="B61" s="7" t="s">
        <v>54</v>
      </c>
      <c r="C61" s="6">
        <v>54512.273209999999</v>
      </c>
      <c r="D61" s="6">
        <v>5.9999999999999995E-4</v>
      </c>
      <c r="E61" s="25">
        <f t="shared" si="7"/>
        <v>30991.244732908672</v>
      </c>
      <c r="F61" s="67">
        <f t="shared" si="10"/>
        <v>30991.5</v>
      </c>
      <c r="G61" s="25">
        <f t="shared" si="9"/>
        <v>-0.17537494999851333</v>
      </c>
      <c r="K61" s="25">
        <f t="shared" si="6"/>
        <v>-0.17537494999851333</v>
      </c>
      <c r="O61" s="25">
        <f t="shared" ca="1" si="4"/>
        <v>-0.2519125702062841</v>
      </c>
      <c r="Q61" s="66">
        <f t="shared" si="8"/>
        <v>39493.773209999999</v>
      </c>
    </row>
    <row r="62" spans="1:17" s="25" customFormat="1" ht="12.95" customHeight="1">
      <c r="A62" s="44" t="s">
        <v>69</v>
      </c>
      <c r="B62" s="45" t="s">
        <v>45</v>
      </c>
      <c r="C62" s="44">
        <v>54512.2739</v>
      </c>
      <c r="E62" s="25">
        <f t="shared" si="7"/>
        <v>30991.2457372385</v>
      </c>
      <c r="F62" s="67">
        <f t="shared" si="10"/>
        <v>30991.5</v>
      </c>
      <c r="G62" s="25">
        <f t="shared" si="9"/>
        <v>-0.1746849499977543</v>
      </c>
      <c r="K62" s="25">
        <f t="shared" si="6"/>
        <v>-0.1746849499977543</v>
      </c>
      <c r="O62" s="25">
        <f t="shared" ca="1" si="4"/>
        <v>-0.2519125702062841</v>
      </c>
      <c r="Q62" s="66">
        <f t="shared" si="8"/>
        <v>39493.7739</v>
      </c>
    </row>
    <row r="63" spans="1:17" s="25" customFormat="1" ht="12.95" customHeight="1">
      <c r="A63" s="6" t="s">
        <v>70</v>
      </c>
      <c r="B63" s="7" t="s">
        <v>54</v>
      </c>
      <c r="C63" s="6">
        <v>54512.273959999999</v>
      </c>
      <c r="D63" s="6">
        <v>5.0000000000000001E-4</v>
      </c>
      <c r="E63" s="25">
        <f t="shared" si="7"/>
        <v>30991.245824571524</v>
      </c>
      <c r="F63" s="67">
        <f t="shared" si="10"/>
        <v>30991.5</v>
      </c>
      <c r="G63" s="25">
        <f t="shared" si="9"/>
        <v>-0.17462494999927003</v>
      </c>
      <c r="K63" s="25">
        <f t="shared" si="6"/>
        <v>-0.17462494999927003</v>
      </c>
      <c r="O63" s="25">
        <f t="shared" ref="O63:O95" ca="1" si="11">+C$11+C$12*$F63</f>
        <v>-0.2519125702062841</v>
      </c>
      <c r="Q63" s="66">
        <f t="shared" si="8"/>
        <v>39493.773959999999</v>
      </c>
    </row>
    <row r="64" spans="1:17" s="25" customFormat="1" ht="12.95" customHeight="1">
      <c r="A64" s="44" t="s">
        <v>69</v>
      </c>
      <c r="B64" s="45" t="s">
        <v>45</v>
      </c>
      <c r="C64" s="44">
        <v>54512.274899999997</v>
      </c>
      <c r="E64" s="25">
        <f t="shared" si="7"/>
        <v>30991.247192788967</v>
      </c>
      <c r="F64" s="67">
        <f t="shared" si="10"/>
        <v>30991.5</v>
      </c>
      <c r="G64" s="25">
        <f t="shared" si="9"/>
        <v>-0.17368495000118855</v>
      </c>
      <c r="K64" s="25">
        <f t="shared" si="6"/>
        <v>-0.17368495000118855</v>
      </c>
      <c r="O64" s="25">
        <f t="shared" ca="1" si="11"/>
        <v>-0.2519125702062841</v>
      </c>
      <c r="Q64" s="66">
        <f t="shared" si="8"/>
        <v>39493.774899999997</v>
      </c>
    </row>
    <row r="65" spans="1:17" s="25" customFormat="1" ht="12.95" customHeight="1">
      <c r="A65" s="6" t="s">
        <v>70</v>
      </c>
      <c r="B65" s="7" t="s">
        <v>54</v>
      </c>
      <c r="C65" s="6">
        <v>54512.274920000003</v>
      </c>
      <c r="D65" s="6">
        <v>4.0000000000000002E-4</v>
      </c>
      <c r="E65" s="25">
        <f t="shared" si="7"/>
        <v>30991.247221899986</v>
      </c>
      <c r="F65" s="67">
        <f t="shared" si="10"/>
        <v>30991.5</v>
      </c>
      <c r="G65" s="25">
        <f t="shared" si="9"/>
        <v>-0.17366494999441784</v>
      </c>
      <c r="K65" s="25">
        <f t="shared" si="6"/>
        <v>-0.17366494999441784</v>
      </c>
      <c r="O65" s="25">
        <f t="shared" ca="1" si="11"/>
        <v>-0.2519125702062841</v>
      </c>
      <c r="Q65" s="66">
        <f t="shared" si="8"/>
        <v>39493.774920000003</v>
      </c>
    </row>
    <row r="66" spans="1:17" s="25" customFormat="1" ht="12.95" customHeight="1">
      <c r="A66" s="44" t="s">
        <v>69</v>
      </c>
      <c r="B66" s="45" t="s">
        <v>45</v>
      </c>
      <c r="C66" s="44">
        <v>54536.2912</v>
      </c>
      <c r="E66" s="25">
        <f t="shared" si="7"/>
        <v>31026.204129600468</v>
      </c>
      <c r="F66" s="67">
        <f t="shared" si="10"/>
        <v>31026.5</v>
      </c>
      <c r="G66" s="25">
        <f t="shared" si="9"/>
        <v>-0.20327044999430655</v>
      </c>
      <c r="K66" s="25">
        <f t="shared" si="6"/>
        <v>-0.20327044999430655</v>
      </c>
      <c r="O66" s="25">
        <f t="shared" ca="1" si="11"/>
        <v>-0.25279673165832961</v>
      </c>
      <c r="Q66" s="66">
        <f t="shared" si="8"/>
        <v>39517.7912</v>
      </c>
    </row>
    <row r="67" spans="1:17" s="25" customFormat="1" ht="12.95" customHeight="1">
      <c r="A67" s="6" t="s">
        <v>70</v>
      </c>
      <c r="B67" s="7" t="s">
        <v>54</v>
      </c>
      <c r="C67" s="6">
        <v>54536.291230000003</v>
      </c>
      <c r="D67" s="6">
        <v>2.9999999999999997E-4</v>
      </c>
      <c r="E67" s="25">
        <f t="shared" si="7"/>
        <v>31026.204173266986</v>
      </c>
      <c r="F67" s="67">
        <f t="shared" si="10"/>
        <v>31026.5</v>
      </c>
      <c r="G67" s="25">
        <f t="shared" si="9"/>
        <v>-0.20324044999142643</v>
      </c>
      <c r="K67" s="25">
        <f t="shared" si="6"/>
        <v>-0.20324044999142643</v>
      </c>
      <c r="O67" s="25">
        <f t="shared" ca="1" si="11"/>
        <v>-0.25279673165832961</v>
      </c>
      <c r="Q67" s="66">
        <f t="shared" si="8"/>
        <v>39517.791230000003</v>
      </c>
    </row>
    <row r="68" spans="1:17" s="25" customFormat="1" ht="12.95" customHeight="1">
      <c r="A68" s="44" t="s">
        <v>71</v>
      </c>
      <c r="B68" s="45" t="s">
        <v>54</v>
      </c>
      <c r="C68" s="44">
        <v>54808.144999999997</v>
      </c>
      <c r="E68" s="25">
        <f t="shared" si="7"/>
        <v>31421.90105662775</v>
      </c>
      <c r="F68" s="67">
        <f t="shared" si="10"/>
        <v>31422.5</v>
      </c>
      <c r="G68" s="25">
        <f t="shared" si="9"/>
        <v>-0.41148925000015879</v>
      </c>
      <c r="K68" s="25">
        <f t="shared" si="6"/>
        <v>-0.41148925000015879</v>
      </c>
      <c r="O68" s="25">
        <f t="shared" ca="1" si="11"/>
        <v>-0.26280038694433072</v>
      </c>
      <c r="Q68" s="66">
        <f t="shared" si="8"/>
        <v>39789.644999999997</v>
      </c>
    </row>
    <row r="69" spans="1:17" s="25" customFormat="1" ht="12.95" customHeight="1">
      <c r="A69" s="6" t="s">
        <v>72</v>
      </c>
      <c r="B69" s="7" t="s">
        <v>45</v>
      </c>
      <c r="C69" s="6">
        <v>54832.417500000003</v>
      </c>
      <c r="D69" s="6">
        <v>1E-4</v>
      </c>
      <c r="E69" s="25">
        <f t="shared" si="7"/>
        <v>31457.2309054703</v>
      </c>
      <c r="F69" s="67">
        <f t="shared" si="10"/>
        <v>31457.5</v>
      </c>
      <c r="G69" s="25">
        <f t="shared" si="9"/>
        <v>-0.18487474999710685</v>
      </c>
      <c r="J69" s="25">
        <f>+G69</f>
        <v>-0.18487474999710685</v>
      </c>
      <c r="O69" s="25">
        <f t="shared" ca="1" si="11"/>
        <v>-0.26368454839637623</v>
      </c>
      <c r="Q69" s="66">
        <f t="shared" si="8"/>
        <v>39813.917500000003</v>
      </c>
    </row>
    <row r="70" spans="1:17" s="25" customFormat="1" ht="12.95" customHeight="1">
      <c r="A70" s="6" t="s">
        <v>73</v>
      </c>
      <c r="B70" s="7" t="s">
        <v>45</v>
      </c>
      <c r="C70" s="6">
        <v>54887.604200000002</v>
      </c>
      <c r="D70" s="6">
        <v>1E-3</v>
      </c>
      <c r="E70" s="25">
        <f t="shared" si="7"/>
        <v>31537.557932728247</v>
      </c>
      <c r="F70" s="67">
        <f t="shared" si="10"/>
        <v>31538</v>
      </c>
      <c r="G70" s="25">
        <f t="shared" si="9"/>
        <v>-0.30371139999624575</v>
      </c>
      <c r="K70" s="25">
        <f>+G70</f>
        <v>-0.30371139999624575</v>
      </c>
      <c r="O70" s="25">
        <f t="shared" ca="1" si="11"/>
        <v>-0.26571811973608106</v>
      </c>
      <c r="Q70" s="66">
        <f t="shared" si="8"/>
        <v>39869.104200000002</v>
      </c>
    </row>
    <row r="71" spans="1:17" s="25" customFormat="1" ht="12.95" customHeight="1">
      <c r="A71" s="44" t="s">
        <v>74</v>
      </c>
      <c r="B71" s="45" t="s">
        <v>45</v>
      </c>
      <c r="C71" s="44">
        <v>55574.136899999998</v>
      </c>
      <c r="E71" s="25">
        <f t="shared" si="7"/>
        <v>32536.840928565511</v>
      </c>
      <c r="F71" s="67">
        <f t="shared" si="10"/>
        <v>32537.5</v>
      </c>
      <c r="G71" s="25">
        <f t="shared" si="9"/>
        <v>-0.45279875000414904</v>
      </c>
      <c r="K71" s="25">
        <f>+G71</f>
        <v>-0.45279875000414904</v>
      </c>
      <c r="O71" s="25">
        <f t="shared" ca="1" si="11"/>
        <v>-0.2909672446309246</v>
      </c>
      <c r="Q71" s="66">
        <f t="shared" si="8"/>
        <v>40555.636899999998</v>
      </c>
    </row>
    <row r="72" spans="1:17" s="25" customFormat="1" ht="12.95" customHeight="1">
      <c r="A72" s="44" t="s">
        <v>75</v>
      </c>
      <c r="B72" s="45" t="s">
        <v>54</v>
      </c>
      <c r="C72" s="44">
        <v>55593.3001</v>
      </c>
      <c r="E72" s="25">
        <f t="shared" si="7"/>
        <v>32564.733933379164</v>
      </c>
      <c r="F72" s="67">
        <f t="shared" si="10"/>
        <v>32565</v>
      </c>
      <c r="G72" s="25">
        <f t="shared" si="9"/>
        <v>-0.1827945000040927</v>
      </c>
      <c r="K72" s="25">
        <f>+G72</f>
        <v>-0.1827945000040927</v>
      </c>
      <c r="O72" s="25">
        <f t="shared" ca="1" si="11"/>
        <v>-0.29166194291467473</v>
      </c>
      <c r="Q72" s="66">
        <f t="shared" si="8"/>
        <v>40574.8001</v>
      </c>
    </row>
    <row r="73" spans="1:17" s="25" customFormat="1" ht="12.95" customHeight="1">
      <c r="A73" s="6" t="s">
        <v>76</v>
      </c>
      <c r="B73" s="7" t="s">
        <v>54</v>
      </c>
      <c r="C73" s="6">
        <v>55609.651700000002</v>
      </c>
      <c r="D73" s="6">
        <v>2.9999999999999997E-4</v>
      </c>
      <c r="E73" s="25">
        <f t="shared" si="7"/>
        <v>32588.534512484479</v>
      </c>
      <c r="F73" s="67">
        <f t="shared" si="10"/>
        <v>32589</v>
      </c>
      <c r="G73" s="25">
        <f t="shared" si="9"/>
        <v>-0.31980169999587815</v>
      </c>
      <c r="K73" s="25">
        <f>+G73</f>
        <v>-0.31980169999587815</v>
      </c>
      <c r="O73" s="25">
        <f t="shared" ca="1" si="11"/>
        <v>-0.29226822505322025</v>
      </c>
      <c r="Q73" s="66">
        <f t="shared" si="8"/>
        <v>40591.151700000002</v>
      </c>
    </row>
    <row r="74" spans="1:17" s="25" customFormat="1" ht="12.95" customHeight="1">
      <c r="A74" s="6" t="s">
        <v>77</v>
      </c>
      <c r="B74" s="7" t="s">
        <v>45</v>
      </c>
      <c r="C74" s="6">
        <v>55642.355000000003</v>
      </c>
      <c r="D74" s="6">
        <v>2.0000000000000001E-4</v>
      </c>
      <c r="E74" s="25">
        <f t="shared" si="7"/>
        <v>32636.135816250149</v>
      </c>
      <c r="F74" s="67">
        <f t="shared" si="10"/>
        <v>32636.5</v>
      </c>
      <c r="G74" s="25">
        <f t="shared" si="9"/>
        <v>-0.2502034499993897</v>
      </c>
      <c r="J74" s="25">
        <f>+G74</f>
        <v>-0.2502034499993897</v>
      </c>
      <c r="O74" s="25">
        <f t="shared" ca="1" si="11"/>
        <v>-0.29346815845242491</v>
      </c>
      <c r="Q74" s="66">
        <f t="shared" si="8"/>
        <v>40623.855000000003</v>
      </c>
    </row>
    <row r="75" spans="1:17" s="25" customFormat="1" ht="12.95" customHeight="1">
      <c r="A75" s="44" t="s">
        <v>78</v>
      </c>
      <c r="B75" s="45" t="s">
        <v>45</v>
      </c>
      <c r="C75" s="44">
        <v>55977.061199999996</v>
      </c>
      <c r="E75" s="25">
        <f t="shared" si="7"/>
        <v>33123.317583792035</v>
      </c>
      <c r="F75" s="67">
        <f t="shared" si="10"/>
        <v>33124</v>
      </c>
      <c r="G75" s="25">
        <f t="shared" si="9"/>
        <v>-0.46883720000187168</v>
      </c>
      <c r="K75" s="25">
        <f>+G75</f>
        <v>-0.46883720000187168</v>
      </c>
      <c r="O75" s="25">
        <f t="shared" ca="1" si="11"/>
        <v>-0.30578326439163073</v>
      </c>
      <c r="Q75" s="66">
        <f t="shared" si="8"/>
        <v>40958.561199999996</v>
      </c>
    </row>
    <row r="76" spans="1:17" s="25" customFormat="1" ht="12.95" customHeight="1">
      <c r="A76" s="5" t="s">
        <v>79</v>
      </c>
      <c r="B76" s="7" t="s">
        <v>54</v>
      </c>
      <c r="C76" s="6">
        <v>56269.610240000002</v>
      </c>
      <c r="D76" s="6">
        <v>4.0000000000000002E-4</v>
      </c>
      <c r="E76" s="25">
        <f t="shared" si="7"/>
        <v>33549.137477178789</v>
      </c>
      <c r="F76" s="67">
        <f t="shared" si="10"/>
        <v>33549.5</v>
      </c>
      <c r="G76" s="25">
        <f t="shared" si="9"/>
        <v>-0.24906234999798471</v>
      </c>
      <c r="K76" s="25">
        <f>+G76</f>
        <v>-0.24906234999798471</v>
      </c>
      <c r="O76" s="25">
        <f t="shared" ca="1" si="11"/>
        <v>-0.31653214147292741</v>
      </c>
      <c r="Q76" s="66">
        <f t="shared" si="8"/>
        <v>41251.110240000002</v>
      </c>
    </row>
    <row r="77" spans="1:17" s="25" customFormat="1" ht="12.95" customHeight="1">
      <c r="A77" s="44" t="s">
        <v>78</v>
      </c>
      <c r="B77" s="45" t="s">
        <v>45</v>
      </c>
      <c r="C77" s="44">
        <v>56281.107300000003</v>
      </c>
      <c r="E77" s="25">
        <f t="shared" si="7"/>
        <v>33565.872028293576</v>
      </c>
      <c r="F77" s="67">
        <f t="shared" si="10"/>
        <v>33566.5</v>
      </c>
      <c r="G77" s="25">
        <f t="shared" si="9"/>
        <v>-0.4314324500010116</v>
      </c>
      <c r="K77" s="25">
        <f>+G77</f>
        <v>-0.4314324500010116</v>
      </c>
      <c r="O77" s="25">
        <f t="shared" ca="1" si="11"/>
        <v>-0.31696159132106383</v>
      </c>
      <c r="Q77" s="66">
        <f t="shared" si="8"/>
        <v>41262.607300000003</v>
      </c>
    </row>
    <row r="78" spans="1:17" s="25" customFormat="1" ht="12.95" customHeight="1">
      <c r="A78" s="52" t="s">
        <v>80</v>
      </c>
      <c r="B78" s="9" t="s">
        <v>45</v>
      </c>
      <c r="C78" s="6">
        <v>56612.484700000001</v>
      </c>
      <c r="D78" s="8">
        <v>2E-3</v>
      </c>
      <c r="E78" s="25">
        <f t="shared" si="7"/>
        <v>34048.208559422776</v>
      </c>
      <c r="F78" s="67">
        <f t="shared" si="10"/>
        <v>34048.5</v>
      </c>
      <c r="G78" s="25">
        <f t="shared" si="9"/>
        <v>-0.20022704999428242</v>
      </c>
      <c r="J78" s="25">
        <f>+G78</f>
        <v>-0.20022704999428242</v>
      </c>
      <c r="O78" s="25">
        <f t="shared" ca="1" si="11"/>
        <v>-0.3291377576035196</v>
      </c>
      <c r="Q78" s="66">
        <f t="shared" si="8"/>
        <v>41593.984700000001</v>
      </c>
    </row>
    <row r="79" spans="1:17" s="25" customFormat="1" ht="12.95" customHeight="1">
      <c r="A79" s="53" t="s">
        <v>81</v>
      </c>
      <c r="B79" s="54" t="s">
        <v>54</v>
      </c>
      <c r="C79" s="55">
        <v>56692.718699999998</v>
      </c>
      <c r="D79" s="53">
        <v>8.0000000000000004E-4</v>
      </c>
      <c r="E79" s="25">
        <f t="shared" si="7"/>
        <v>34164.993196029318</v>
      </c>
      <c r="F79" s="67">
        <f t="shared" si="10"/>
        <v>34165.5</v>
      </c>
      <c r="G79" s="25">
        <f t="shared" si="9"/>
        <v>-0.3481871499971021</v>
      </c>
      <c r="K79" s="25">
        <f>+G79</f>
        <v>-0.3481871499971021</v>
      </c>
      <c r="O79" s="25">
        <f t="shared" ca="1" si="11"/>
        <v>-0.33209338302892899</v>
      </c>
      <c r="Q79" s="66">
        <f t="shared" si="8"/>
        <v>41674.218699999998</v>
      </c>
    </row>
    <row r="80" spans="1:17" s="25" customFormat="1" ht="12.95" customHeight="1">
      <c r="A80" s="53" t="s">
        <v>81</v>
      </c>
      <c r="B80" s="54" t="s">
        <v>54</v>
      </c>
      <c r="C80" s="55">
        <v>56692.719420000001</v>
      </c>
      <c r="D80" s="53">
        <v>5.0000000000000001E-4</v>
      </c>
      <c r="E80" s="25">
        <f t="shared" si="7"/>
        <v>34164.994244025656</v>
      </c>
      <c r="F80" s="67">
        <f t="shared" si="10"/>
        <v>34165.5</v>
      </c>
      <c r="G80" s="25">
        <f t="shared" si="9"/>
        <v>-0.34746714999346295</v>
      </c>
      <c r="K80" s="25">
        <f>+G80</f>
        <v>-0.34746714999346295</v>
      </c>
      <c r="O80" s="25">
        <f t="shared" ca="1" si="11"/>
        <v>-0.33209338302892899</v>
      </c>
      <c r="Q80" s="66">
        <f t="shared" si="8"/>
        <v>41674.219420000001</v>
      </c>
    </row>
    <row r="81" spans="1:17" s="25" customFormat="1" ht="12.95" customHeight="1">
      <c r="A81" s="53" t="s">
        <v>81</v>
      </c>
      <c r="B81" s="54" t="s">
        <v>54</v>
      </c>
      <c r="C81" s="55">
        <v>56692.71989</v>
      </c>
      <c r="D81" s="53">
        <v>5.9999999999999995E-4</v>
      </c>
      <c r="E81" s="25">
        <f t="shared" si="7"/>
        <v>34164.99492813438</v>
      </c>
      <c r="F81" s="67">
        <f t="shared" si="10"/>
        <v>34165.5</v>
      </c>
      <c r="G81" s="25">
        <f t="shared" si="9"/>
        <v>-0.34699714999442222</v>
      </c>
      <c r="K81" s="25">
        <f>+G81</f>
        <v>-0.34699714999442222</v>
      </c>
      <c r="O81" s="25">
        <f t="shared" ca="1" si="11"/>
        <v>-0.33209338302892899</v>
      </c>
      <c r="Q81" s="66">
        <f t="shared" si="8"/>
        <v>41674.21989</v>
      </c>
    </row>
    <row r="82" spans="1:17" s="25" customFormat="1" ht="12.95" customHeight="1">
      <c r="A82" s="53" t="s">
        <v>81</v>
      </c>
      <c r="B82" s="54" t="s">
        <v>54</v>
      </c>
      <c r="C82" s="55">
        <v>56692.71989</v>
      </c>
      <c r="D82" s="53">
        <v>6.9999999999999999E-4</v>
      </c>
      <c r="E82" s="25">
        <f t="shared" si="7"/>
        <v>34164.99492813438</v>
      </c>
      <c r="F82" s="67">
        <f t="shared" si="10"/>
        <v>34165.5</v>
      </c>
      <c r="G82" s="25">
        <f t="shared" si="9"/>
        <v>-0.34699714999442222</v>
      </c>
      <c r="K82" s="25">
        <f>+G82</f>
        <v>-0.34699714999442222</v>
      </c>
      <c r="O82" s="25">
        <f t="shared" ca="1" si="11"/>
        <v>-0.33209338302892899</v>
      </c>
      <c r="Q82" s="66">
        <f t="shared" si="8"/>
        <v>41674.21989</v>
      </c>
    </row>
    <row r="83" spans="1:17" s="25" customFormat="1" ht="12.95" customHeight="1">
      <c r="A83" s="53" t="s">
        <v>82</v>
      </c>
      <c r="B83" s="54"/>
      <c r="C83" s="53">
        <v>57061.668299999998</v>
      </c>
      <c r="D83" s="53">
        <v>4.7999999999999996E-3</v>
      </c>
      <c r="E83" s="25">
        <f t="shared" si="7"/>
        <v>34702.017960619494</v>
      </c>
      <c r="F83" s="67">
        <f t="shared" si="10"/>
        <v>34702.5</v>
      </c>
      <c r="G83" s="25">
        <f t="shared" si="9"/>
        <v>-0.33117325000057463</v>
      </c>
      <c r="J83" s="25">
        <f>+G83</f>
        <v>-0.33117325000057463</v>
      </c>
      <c r="O83" s="25">
        <f t="shared" ca="1" si="11"/>
        <v>-0.34565894587888502</v>
      </c>
      <c r="Q83" s="66">
        <f t="shared" si="8"/>
        <v>42043.168299999998</v>
      </c>
    </row>
    <row r="84" spans="1:17" s="25" customFormat="1" ht="12.95" customHeight="1">
      <c r="A84" s="53" t="s">
        <v>82</v>
      </c>
      <c r="B84" s="54"/>
      <c r="C84" s="53">
        <v>57062.6921</v>
      </c>
      <c r="D84" s="53">
        <v>1.6999999999999999E-3</v>
      </c>
      <c r="E84" s="25">
        <f t="shared" si="7"/>
        <v>34703.508153193194</v>
      </c>
      <c r="F84" s="67">
        <f t="shared" si="10"/>
        <v>34704</v>
      </c>
      <c r="G84" s="25">
        <f t="shared" si="9"/>
        <v>-0.33791119999659713</v>
      </c>
      <c r="J84" s="25">
        <f>+G84</f>
        <v>-0.33791119999659713</v>
      </c>
      <c r="O84" s="25">
        <f t="shared" ca="1" si="11"/>
        <v>-0.34569683851254418</v>
      </c>
      <c r="Q84" s="66">
        <f t="shared" si="8"/>
        <v>42044.1921</v>
      </c>
    </row>
    <row r="85" spans="1:17" s="25" customFormat="1" ht="12.95" customHeight="1">
      <c r="A85" s="56" t="s">
        <v>83</v>
      </c>
      <c r="B85" s="57" t="s">
        <v>45</v>
      </c>
      <c r="C85" s="56">
        <v>57387.172400000003</v>
      </c>
      <c r="D85" s="56" t="s">
        <v>84</v>
      </c>
      <c r="E85" s="25">
        <f t="shared" ref="E85:E95" si="12">+(C85-C$7)/C$8</f>
        <v>35175.805607158865</v>
      </c>
      <c r="F85" s="67">
        <f t="shared" si="10"/>
        <v>35176.5</v>
      </c>
      <c r="G85" s="25">
        <f t="shared" si="9"/>
        <v>-0.47706544999527978</v>
      </c>
      <c r="K85" s="25">
        <f t="shared" ref="K85:K95" si="13">+G85</f>
        <v>-0.47706544999527978</v>
      </c>
      <c r="O85" s="25">
        <f t="shared" ca="1" si="11"/>
        <v>-0.35763301811515902</v>
      </c>
      <c r="Q85" s="66">
        <f t="shared" ref="Q85:Q95" si="14">+C85-15018.5</f>
        <v>42368.672400000003</v>
      </c>
    </row>
    <row r="86" spans="1:17" s="25" customFormat="1" ht="12.95" customHeight="1">
      <c r="A86" s="58" t="s">
        <v>85</v>
      </c>
      <c r="B86" s="57" t="s">
        <v>45</v>
      </c>
      <c r="C86" s="56">
        <v>58885.942000000003</v>
      </c>
      <c r="D86" s="56" t="s">
        <v>49</v>
      </c>
      <c r="E86" s="25">
        <f t="shared" si="12"/>
        <v>37357.340406532341</v>
      </c>
      <c r="F86" s="67">
        <f t="shared" si="10"/>
        <v>37358</v>
      </c>
      <c r="G86" s="25">
        <f t="shared" si="9"/>
        <v>-0.45315739999205107</v>
      </c>
      <c r="K86" s="25">
        <f t="shared" si="13"/>
        <v>-0.45315739999205107</v>
      </c>
      <c r="O86" s="25">
        <f t="shared" ca="1" si="11"/>
        <v>-0.41274153833336946</v>
      </c>
      <c r="Q86" s="66">
        <f t="shared" si="14"/>
        <v>43867.442000000003</v>
      </c>
    </row>
    <row r="87" spans="1:17" s="25" customFormat="1" ht="12.95" customHeight="1">
      <c r="A87" s="58" t="s">
        <v>85</v>
      </c>
      <c r="B87" s="57" t="s">
        <v>45</v>
      </c>
      <c r="C87" s="56">
        <v>58885.942199999998</v>
      </c>
      <c r="D87" s="56" t="s">
        <v>86</v>
      </c>
      <c r="E87" s="25">
        <f t="shared" si="12"/>
        <v>37357.34069764243</v>
      </c>
      <c r="F87" s="67">
        <f t="shared" si="10"/>
        <v>37358</v>
      </c>
      <c r="G87" s="25">
        <f t="shared" si="9"/>
        <v>-0.45295739999710349</v>
      </c>
      <c r="K87" s="25">
        <f t="shared" si="13"/>
        <v>-0.45295739999710349</v>
      </c>
      <c r="O87" s="25">
        <f t="shared" ca="1" si="11"/>
        <v>-0.41274153833336946</v>
      </c>
      <c r="Q87" s="66">
        <f t="shared" si="14"/>
        <v>43867.442199999998</v>
      </c>
    </row>
    <row r="88" spans="1:17" s="25" customFormat="1" ht="12.95" customHeight="1">
      <c r="A88" s="58" t="s">
        <v>85</v>
      </c>
      <c r="B88" s="57" t="s">
        <v>45</v>
      </c>
      <c r="C88" s="56">
        <v>58885.942199999998</v>
      </c>
      <c r="D88" s="56" t="s">
        <v>87</v>
      </c>
      <c r="E88" s="25">
        <f t="shared" si="12"/>
        <v>37357.34069764243</v>
      </c>
      <c r="F88" s="67">
        <f t="shared" si="10"/>
        <v>37358</v>
      </c>
      <c r="G88" s="25">
        <f t="shared" si="9"/>
        <v>-0.45295739999710349</v>
      </c>
      <c r="K88" s="25">
        <f t="shared" si="13"/>
        <v>-0.45295739999710349</v>
      </c>
      <c r="O88" s="25">
        <f t="shared" ca="1" si="11"/>
        <v>-0.41274153833336946</v>
      </c>
      <c r="Q88" s="66">
        <f t="shared" si="14"/>
        <v>43867.442199999998</v>
      </c>
    </row>
    <row r="89" spans="1:17" s="25" customFormat="1" ht="12.95" customHeight="1">
      <c r="A89" s="24" t="s">
        <v>308</v>
      </c>
      <c r="B89" s="62" t="s">
        <v>54</v>
      </c>
      <c r="C89" s="63">
        <v>59548.9375</v>
      </c>
      <c r="D89" s="64">
        <v>1E-4</v>
      </c>
      <c r="E89" s="25">
        <f t="shared" si="12"/>
        <v>38322.363819789462</v>
      </c>
      <c r="F89" s="36">
        <f t="shared" si="10"/>
        <v>38323</v>
      </c>
      <c r="G89" s="25">
        <f t="shared" ref="G89:G120" si="15">+C89-(C$7+F89*C$8)</f>
        <v>-0.4370718999998644</v>
      </c>
      <c r="K89" s="25">
        <f t="shared" si="13"/>
        <v>-0.4370718999998644</v>
      </c>
      <c r="O89" s="25">
        <f t="shared" ca="1" si="11"/>
        <v>-0.43711913265405389</v>
      </c>
      <c r="Q89" s="66">
        <f t="shared" si="14"/>
        <v>44530.4375</v>
      </c>
    </row>
    <row r="90" spans="1:17" s="25" customFormat="1" ht="12.95" customHeight="1">
      <c r="A90" s="59" t="s">
        <v>306</v>
      </c>
      <c r="C90" s="47">
        <v>59564.8076</v>
      </c>
      <c r="D90" s="47">
        <v>2.0000000000000001E-4</v>
      </c>
      <c r="E90" s="25">
        <f t="shared" si="12"/>
        <v>38345.463551342291</v>
      </c>
      <c r="F90" s="67">
        <f t="shared" si="10"/>
        <v>38346</v>
      </c>
      <c r="G90" s="25">
        <f t="shared" si="15"/>
        <v>-0.3685537999990629</v>
      </c>
      <c r="K90" s="25">
        <f t="shared" si="13"/>
        <v>-0.3685537999990629</v>
      </c>
      <c r="O90" s="25">
        <f t="shared" ca="1" si="11"/>
        <v>-0.43770015303682674</v>
      </c>
      <c r="Q90" s="66">
        <f t="shared" si="14"/>
        <v>44546.3076</v>
      </c>
    </row>
    <row r="91" spans="1:17" s="25" customFormat="1" ht="12.95" customHeight="1">
      <c r="A91" s="60" t="s">
        <v>307</v>
      </c>
      <c r="B91" s="61" t="s">
        <v>54</v>
      </c>
      <c r="C91" s="23">
        <v>59886.227899999823</v>
      </c>
      <c r="E91" s="25">
        <f t="shared" si="12"/>
        <v>38813.307020862005</v>
      </c>
      <c r="F91" s="67">
        <f t="shared" si="10"/>
        <v>38814</v>
      </c>
      <c r="G91" s="25">
        <f t="shared" si="15"/>
        <v>-0.47609420017397497</v>
      </c>
      <c r="K91" s="25">
        <f t="shared" si="13"/>
        <v>-0.47609420017397497</v>
      </c>
      <c r="O91" s="25">
        <f t="shared" ca="1" si="11"/>
        <v>-0.44952265473846431</v>
      </c>
      <c r="Q91" s="66">
        <f t="shared" si="14"/>
        <v>44867.727899999823</v>
      </c>
    </row>
    <row r="92" spans="1:17" s="25" customFormat="1" ht="12.95" customHeight="1">
      <c r="A92" s="60" t="s">
        <v>307</v>
      </c>
      <c r="B92" s="61" t="s">
        <v>54</v>
      </c>
      <c r="C92" s="23">
        <v>59886.228699999861</v>
      </c>
      <c r="E92" s="25">
        <f t="shared" si="12"/>
        <v>38813.308185302434</v>
      </c>
      <c r="F92" s="67">
        <f t="shared" si="10"/>
        <v>38814</v>
      </c>
      <c r="G92" s="25">
        <f t="shared" si="15"/>
        <v>-0.47529420013597701</v>
      </c>
      <c r="K92" s="25">
        <f t="shared" si="13"/>
        <v>-0.47529420013597701</v>
      </c>
      <c r="O92" s="25">
        <f t="shared" ca="1" si="11"/>
        <v>-0.44952265473846431</v>
      </c>
      <c r="Q92" s="66">
        <f t="shared" si="14"/>
        <v>44867.728699999861</v>
      </c>
    </row>
    <row r="93" spans="1:17" s="25" customFormat="1" ht="12.95" customHeight="1">
      <c r="A93" s="60" t="s">
        <v>307</v>
      </c>
      <c r="B93" s="61" t="s">
        <v>54</v>
      </c>
      <c r="C93" s="23">
        <v>59886.229999999981</v>
      </c>
      <c r="E93" s="25">
        <f t="shared" si="12"/>
        <v>38813.310077518225</v>
      </c>
      <c r="F93" s="67">
        <f t="shared" si="10"/>
        <v>38814</v>
      </c>
      <c r="G93" s="25">
        <f t="shared" si="15"/>
        <v>-0.47399420001602266</v>
      </c>
      <c r="K93" s="25">
        <f t="shared" si="13"/>
        <v>-0.47399420001602266</v>
      </c>
      <c r="O93" s="25">
        <f t="shared" ca="1" si="11"/>
        <v>-0.44952265473846431</v>
      </c>
      <c r="Q93" s="66">
        <f t="shared" si="14"/>
        <v>44867.729999999981</v>
      </c>
    </row>
    <row r="94" spans="1:17" s="25" customFormat="1" ht="12.95" customHeight="1">
      <c r="A94" s="60" t="s">
        <v>307</v>
      </c>
      <c r="B94" s="61" t="s">
        <v>54</v>
      </c>
      <c r="C94" s="23">
        <v>59927.106900000013</v>
      </c>
      <c r="E94" s="25">
        <f t="shared" si="12"/>
        <v>38872.808468625561</v>
      </c>
      <c r="F94" s="67">
        <f t="shared" si="10"/>
        <v>38873.5</v>
      </c>
      <c r="G94" s="25">
        <f t="shared" si="15"/>
        <v>-0.47509954998531612</v>
      </c>
      <c r="K94" s="25">
        <f t="shared" si="13"/>
        <v>-0.47509954998531612</v>
      </c>
      <c r="O94" s="25">
        <f t="shared" ca="1" si="11"/>
        <v>-0.45102572920694184</v>
      </c>
      <c r="Q94" s="66">
        <f t="shared" si="14"/>
        <v>44908.606900000013</v>
      </c>
    </row>
    <row r="95" spans="1:17" s="25" customFormat="1" ht="12.95" customHeight="1">
      <c r="A95" s="60" t="s">
        <v>307</v>
      </c>
      <c r="B95" s="61" t="s">
        <v>54</v>
      </c>
      <c r="C95" s="23">
        <v>59927.107600000221</v>
      </c>
      <c r="E95" s="25">
        <f t="shared" si="12"/>
        <v>38872.809487511193</v>
      </c>
      <c r="F95" s="67">
        <f t="shared" si="10"/>
        <v>38873.5</v>
      </c>
      <c r="G95" s="25">
        <f t="shared" si="15"/>
        <v>-0.47439954977744492</v>
      </c>
      <c r="K95" s="25">
        <f t="shared" si="13"/>
        <v>-0.47439954977744492</v>
      </c>
      <c r="O95" s="25">
        <f t="shared" ca="1" si="11"/>
        <v>-0.45102572920694184</v>
      </c>
      <c r="Q95" s="66">
        <f t="shared" si="14"/>
        <v>44908.607600000221</v>
      </c>
    </row>
    <row r="96" spans="1:17" s="25" customFormat="1" ht="12.95" customHeight="1"/>
    <row r="97" s="25" customFormat="1" ht="12.95" customHeight="1"/>
    <row r="98" s="25" customFormat="1" ht="12.95" customHeight="1"/>
    <row r="99" s="25" customFormat="1" ht="12.95" customHeight="1"/>
    <row r="100" s="25" customFormat="1" ht="12.95" customHeight="1"/>
    <row r="101" s="25" customFormat="1" ht="12.95" customHeight="1"/>
    <row r="102" s="25" customFormat="1" ht="12.95" customHeight="1"/>
    <row r="103" s="25" customFormat="1" ht="12.95" customHeight="1"/>
    <row r="104" s="25" customFormat="1" ht="12.95" customHeight="1"/>
    <row r="105" s="25" customFormat="1" ht="12.95" customHeight="1"/>
    <row r="106" s="25" customFormat="1" ht="12.95" customHeight="1"/>
    <row r="107" s="25" customFormat="1" ht="12.95" customHeight="1"/>
    <row r="108" s="25" customFormat="1" ht="12.95" customHeight="1"/>
    <row r="109" s="25" customFormat="1" ht="12.95" customHeight="1"/>
    <row r="110" s="25" customFormat="1" ht="12.95" customHeight="1"/>
    <row r="111" s="25" customFormat="1" ht="12.95" customHeight="1"/>
    <row r="112" s="25" customFormat="1" ht="12.95" customHeight="1"/>
    <row r="113" s="25" customFormat="1" ht="12.95" customHeight="1"/>
    <row r="114" s="25" customFormat="1" ht="12.95" customHeight="1"/>
    <row r="115" s="25" customFormat="1" ht="12.95" customHeight="1"/>
    <row r="116" s="25" customFormat="1" ht="12.95" customHeight="1"/>
    <row r="117" s="25" customFormat="1" ht="12.95" customHeight="1"/>
    <row r="118" s="25" customFormat="1" ht="12.95" customHeight="1"/>
    <row r="119" s="25" customFormat="1" ht="12.95" customHeight="1"/>
    <row r="120" s="25" customFormat="1" ht="12.95" customHeight="1"/>
    <row r="121" s="25" customFormat="1" ht="12.95" customHeight="1"/>
    <row r="122" s="25" customFormat="1" ht="12.95" customHeight="1"/>
    <row r="123" s="25" customFormat="1" ht="12.95" customHeight="1"/>
    <row r="124" s="25" customFormat="1" ht="12.95" customHeight="1"/>
    <row r="125" s="25" customFormat="1" ht="12.95" customHeight="1"/>
    <row r="126" s="25" customFormat="1" ht="12.95" customHeight="1"/>
    <row r="127" s="25" customFormat="1" ht="12.95" customHeight="1"/>
    <row r="128" s="25" customFormat="1" ht="12.95" customHeight="1"/>
    <row r="129" s="25" customFormat="1" ht="12.95" customHeight="1"/>
    <row r="130" s="25" customFormat="1" ht="12.95" customHeight="1"/>
    <row r="131" s="25" customFormat="1" ht="12.95" customHeight="1"/>
    <row r="132" s="25" customFormat="1" ht="12.95" customHeight="1"/>
    <row r="133" s="25" customFormat="1" ht="12.95" customHeight="1"/>
    <row r="134" s="25" customFormat="1" ht="12.95" customHeight="1"/>
    <row r="135" s="25" customFormat="1" ht="12.95" customHeight="1"/>
    <row r="136" s="25" customFormat="1" ht="12.95" customHeight="1"/>
    <row r="137" s="25" customFormat="1" ht="12.95" customHeight="1"/>
    <row r="138" s="25" customFormat="1" ht="12.95" customHeight="1"/>
    <row r="139" s="25" customFormat="1" ht="12.95" customHeight="1"/>
    <row r="140" s="25" customFormat="1" ht="12.95" customHeight="1"/>
    <row r="141" s="25" customFormat="1" ht="12.95" customHeight="1"/>
    <row r="142" s="25" customFormat="1" ht="12.95" customHeight="1"/>
    <row r="143" s="25" customFormat="1" ht="12.95" customHeight="1"/>
    <row r="144" s="25" customFormat="1" ht="12.95" customHeight="1"/>
    <row r="145" s="25" customFormat="1" ht="12.95" customHeight="1"/>
    <row r="146" s="25" customFormat="1" ht="12.95" customHeight="1"/>
    <row r="147" s="25" customFormat="1" ht="12.95" customHeight="1"/>
    <row r="148" s="25" customFormat="1" ht="12.95" customHeight="1"/>
    <row r="149" s="25" customFormat="1" ht="12.95" customHeight="1"/>
    <row r="150" s="25" customFormat="1" ht="12.95" customHeight="1"/>
    <row r="151" s="25" customFormat="1" ht="12.95" customHeight="1"/>
    <row r="152" s="25" customFormat="1" ht="12.95" customHeight="1"/>
    <row r="153" s="25" customFormat="1" ht="12.95" customHeight="1"/>
    <row r="154" s="25" customFormat="1" ht="12.95" customHeight="1"/>
    <row r="155" s="25" customFormat="1" ht="12.95" customHeight="1"/>
    <row r="156" s="25" customFormat="1" ht="12.95" customHeight="1"/>
    <row r="157" s="25" customFormat="1" ht="12.95" customHeight="1"/>
    <row r="158" s="25" customFormat="1" ht="12.95" customHeight="1"/>
    <row r="159" s="25" customFormat="1" ht="12.95" customHeight="1"/>
    <row r="160" s="25" customFormat="1" ht="12.95" customHeight="1"/>
    <row r="161" s="25" customFormat="1" ht="12.95" customHeight="1"/>
    <row r="162" s="25" customFormat="1" ht="12.95" customHeight="1"/>
    <row r="163" s="25" customFormat="1" ht="12.95" customHeight="1"/>
    <row r="164" s="25" customFormat="1" ht="12.95" customHeight="1"/>
    <row r="165" s="25" customFormat="1" ht="12.95" customHeight="1"/>
    <row r="166" s="25" customFormat="1" ht="12.95" customHeight="1"/>
    <row r="167" s="25" customFormat="1" ht="12.95" customHeight="1"/>
    <row r="168" s="25" customFormat="1" ht="12.95" customHeight="1"/>
    <row r="169" s="25" customFormat="1" ht="12.95" customHeight="1"/>
    <row r="170" s="25" customFormat="1" ht="12.95" customHeight="1"/>
    <row r="171" s="25" customFormat="1" ht="12.95" customHeight="1"/>
    <row r="172" s="25" customFormat="1" ht="12.95" customHeight="1"/>
    <row r="173" s="25" customFormat="1" ht="12.95" customHeight="1"/>
    <row r="174" s="25" customFormat="1" ht="12.95" customHeight="1"/>
    <row r="175" s="25" customFormat="1" ht="12.95" customHeight="1"/>
    <row r="176" s="25" customFormat="1" ht="12.95" customHeight="1"/>
    <row r="177" s="25" customFormat="1" ht="12.95" customHeight="1"/>
    <row r="178" s="25" customFormat="1" ht="12.95" customHeight="1"/>
    <row r="179" s="25" customFormat="1" ht="12.95" customHeight="1"/>
    <row r="180" s="25" customFormat="1" ht="12.95" customHeight="1"/>
    <row r="181" s="25" customFormat="1" ht="12.95" customHeight="1"/>
    <row r="182" s="25" customFormat="1" ht="12.95" customHeight="1"/>
    <row r="183" s="25" customFormat="1" ht="12.95" customHeight="1"/>
    <row r="184" s="25" customFormat="1" ht="12.95" customHeight="1"/>
    <row r="185" s="25" customFormat="1" ht="12.95" customHeight="1"/>
    <row r="186" s="25" customFormat="1" ht="12.95" customHeight="1"/>
    <row r="187" s="25" customFormat="1" ht="12.95" customHeight="1"/>
    <row r="188" s="25" customFormat="1" ht="12.95" customHeight="1"/>
    <row r="189" s="25" customFormat="1" ht="12.95" customHeight="1"/>
    <row r="190" s="25" customFormat="1" ht="12.95" customHeight="1"/>
    <row r="191" s="25" customFormat="1" ht="12.95" customHeight="1"/>
    <row r="192" s="25" customFormat="1" ht="12.95" customHeight="1"/>
    <row r="193" s="25" customFormat="1" ht="12.95" customHeight="1"/>
    <row r="194" s="25" customFormat="1" ht="12.95" customHeight="1"/>
    <row r="195" s="25" customFormat="1" ht="12.95" customHeight="1"/>
    <row r="196" s="25" customFormat="1" ht="12.95" customHeight="1"/>
    <row r="197" s="25" customFormat="1" ht="12.95" customHeight="1"/>
    <row r="198" s="25" customFormat="1" ht="12.95" customHeight="1"/>
    <row r="199" s="25" customFormat="1" ht="12.95" customHeight="1"/>
    <row r="200" s="25" customFormat="1" ht="12.95" customHeight="1"/>
    <row r="201" s="25" customFormat="1" ht="12.95" customHeight="1"/>
    <row r="202" s="25" customFormat="1" ht="12.95" customHeight="1"/>
    <row r="203" s="25" customFormat="1" ht="12.95" customHeight="1"/>
    <row r="204" s="25" customFormat="1" ht="12.95" customHeight="1"/>
    <row r="205" s="25" customFormat="1" ht="12.95" customHeight="1"/>
    <row r="206" s="25" customFormat="1" ht="12.95" customHeight="1"/>
    <row r="207" s="25" customFormat="1" ht="12.95" customHeight="1"/>
    <row r="208" s="25" customFormat="1" ht="12.95" customHeight="1"/>
    <row r="209" s="25" customFormat="1" ht="12.95" customHeight="1"/>
    <row r="210" s="25" customFormat="1" ht="12.95" customHeight="1"/>
    <row r="211" s="25" customFormat="1" ht="12.95" customHeight="1"/>
    <row r="212" s="25" customFormat="1" ht="12.95" customHeight="1"/>
    <row r="213" s="25" customFormat="1" ht="12.95" customHeight="1"/>
    <row r="214" s="25" customFormat="1" ht="12.95" customHeight="1"/>
    <row r="215" s="25" customFormat="1" ht="12.95" customHeight="1"/>
    <row r="216" s="25" customFormat="1" ht="12.95" customHeight="1"/>
    <row r="217" s="25" customFormat="1" ht="12.95" customHeight="1"/>
    <row r="218" s="25" customFormat="1" ht="12.95" customHeight="1"/>
    <row r="219" s="25" customFormat="1" ht="12.95" customHeight="1"/>
    <row r="220" s="25" customFormat="1" ht="12.95" customHeight="1"/>
    <row r="221" s="25" customFormat="1" ht="12.95" customHeight="1"/>
    <row r="222" s="25" customFormat="1" ht="12.95" customHeight="1"/>
    <row r="223" s="25" customFormat="1" ht="12.95" customHeight="1"/>
    <row r="224" s="25" customFormat="1" ht="12.95" customHeight="1"/>
    <row r="225" s="25" customFormat="1" ht="12.95" customHeight="1"/>
    <row r="226" s="25" customFormat="1" ht="12.95" customHeight="1"/>
    <row r="227" s="25" customFormat="1" ht="12.95" customHeight="1"/>
    <row r="228" s="25" customFormat="1" ht="12.95" customHeight="1"/>
    <row r="229" s="25" customFormat="1" ht="12.95" customHeight="1"/>
    <row r="230" s="25" customFormat="1" ht="12.95" customHeight="1"/>
    <row r="231" s="25" customFormat="1" ht="12.95" customHeight="1"/>
    <row r="232" s="25" customFormat="1" ht="12.95" customHeight="1"/>
    <row r="233" s="25" customFormat="1" ht="12.95" customHeight="1"/>
    <row r="234" s="25" customFormat="1" ht="12.95" customHeight="1"/>
    <row r="235" s="25" customFormat="1" ht="12.95" customHeight="1"/>
    <row r="236" s="25" customFormat="1" ht="12.95" customHeight="1"/>
    <row r="237" s="25" customFormat="1" ht="12.95" customHeight="1"/>
    <row r="238" s="25" customFormat="1" ht="12.95" customHeight="1"/>
    <row r="239" s="25" customFormat="1" ht="12.95" customHeight="1"/>
    <row r="240" s="25" customFormat="1" ht="12.95" customHeight="1"/>
    <row r="241" s="25" customFormat="1" ht="12.95" customHeight="1"/>
    <row r="242" s="25" customFormat="1" ht="12.95" customHeight="1"/>
    <row r="243" s="25" customFormat="1" ht="12.95" customHeight="1"/>
    <row r="244" s="25" customFormat="1" ht="12.95" customHeight="1"/>
    <row r="245" s="25" customFormat="1" ht="12.95" customHeight="1"/>
    <row r="246" s="25" customFormat="1" ht="12.95" customHeight="1"/>
    <row r="247" s="25" customFormat="1" ht="12.95" customHeight="1"/>
    <row r="248" s="25" customFormat="1" ht="12.95" customHeight="1"/>
    <row r="249" s="25" customFormat="1" ht="12.95" customHeight="1"/>
    <row r="250" s="25" customFormat="1" ht="12.95" customHeight="1"/>
    <row r="251" s="25" customFormat="1" ht="12.95" customHeight="1"/>
    <row r="252" s="25" customFormat="1" ht="12.95" customHeight="1"/>
    <row r="253" s="25" customFormat="1" ht="12.95" customHeight="1"/>
    <row r="254" s="25" customFormat="1" ht="12.95" customHeight="1"/>
    <row r="255" s="25" customFormat="1" ht="12.95" customHeight="1"/>
    <row r="256" s="25" customFormat="1" ht="12.95" customHeight="1"/>
    <row r="257" s="25" customFormat="1" ht="12.95" customHeight="1"/>
    <row r="258" s="25" customFormat="1" ht="12.95" customHeight="1"/>
    <row r="259" s="25" customFormat="1" ht="12.95" customHeight="1"/>
    <row r="260" s="25" customFormat="1" ht="12.95" customHeight="1"/>
    <row r="261" s="25" customFormat="1" ht="12.95" customHeight="1"/>
    <row r="262" s="25" customFormat="1" ht="12.95" customHeight="1"/>
    <row r="263" s="25" customFormat="1" ht="12.95" customHeight="1"/>
    <row r="264" s="25" customFormat="1" ht="12.95" customHeight="1"/>
    <row r="265" s="25" customFormat="1" ht="12.95" customHeight="1"/>
    <row r="266" s="25" customFormat="1" ht="12.95" customHeight="1"/>
    <row r="267" s="25" customFormat="1" ht="12.95" customHeight="1"/>
    <row r="268" s="25" customFormat="1" ht="12.95" customHeight="1"/>
    <row r="269" s="25" customFormat="1" ht="12.95" customHeight="1"/>
    <row r="270" s="25" customFormat="1" ht="12.95" customHeight="1"/>
    <row r="271" s="25" customFormat="1" ht="12.95" customHeight="1"/>
    <row r="272" s="25" customFormat="1" ht="12.95" customHeight="1"/>
    <row r="273" s="25" customFormat="1" ht="12.95" customHeight="1"/>
    <row r="274" s="25" customFormat="1" ht="12.95" customHeight="1"/>
    <row r="275" s="25" customFormat="1" ht="12.95" customHeight="1"/>
    <row r="276" s="25" customFormat="1" ht="12.95" customHeight="1"/>
    <row r="277" s="25" customFormat="1" ht="12.95" customHeight="1"/>
    <row r="278" s="25" customFormat="1" ht="12.95" customHeight="1"/>
    <row r="279" s="25" customFormat="1" ht="12.95" customHeight="1"/>
    <row r="280" s="25" customFormat="1" ht="12.95" customHeight="1"/>
    <row r="281" s="25" customFormat="1" ht="12.95" customHeight="1"/>
  </sheetData>
  <sheetProtection selectLockedCells="1" selectUnlockedCells="1"/>
  <sortState xmlns:xlrd2="http://schemas.microsoft.com/office/spreadsheetml/2017/richdata2" ref="A21:S95">
    <sortCondition ref="C21:C95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3"/>
  <sheetViews>
    <sheetView topLeftCell="A15" workbookViewId="0">
      <selection activeCell="A38" sqref="A38:C63"/>
    </sheetView>
  </sheetViews>
  <sheetFormatPr defaultRowHeight="12.75"/>
  <cols>
    <col min="1" max="1" width="19.7109375" style="4" customWidth="1"/>
    <col min="2" max="2" width="4.42578125" customWidth="1"/>
    <col min="3" max="3" width="12.7109375" style="4" customWidth="1"/>
    <col min="4" max="4" width="5.42578125" customWidth="1"/>
    <col min="5" max="5" width="14.85546875" customWidth="1"/>
    <col min="7" max="7" width="12" customWidth="1"/>
    <col min="8" max="8" width="14.140625" style="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10" t="s">
        <v>89</v>
      </c>
      <c r="I1" s="11" t="s">
        <v>90</v>
      </c>
      <c r="J1" s="12" t="s">
        <v>36</v>
      </c>
    </row>
    <row r="2" spans="1:16">
      <c r="I2" s="13" t="s">
        <v>91</v>
      </c>
      <c r="J2" s="14" t="s">
        <v>35</v>
      </c>
    </row>
    <row r="3" spans="1:16">
      <c r="A3" s="15" t="s">
        <v>92</v>
      </c>
      <c r="I3" s="13" t="s">
        <v>93</v>
      </c>
      <c r="J3" s="14" t="s">
        <v>33</v>
      </c>
    </row>
    <row r="4" spans="1:16">
      <c r="I4" s="13" t="s">
        <v>94</v>
      </c>
      <c r="J4" s="14" t="s">
        <v>33</v>
      </c>
    </row>
    <row r="5" spans="1:16">
      <c r="I5" s="16" t="s">
        <v>86</v>
      </c>
      <c r="J5" s="17" t="s">
        <v>34</v>
      </c>
    </row>
    <row r="11" spans="1:16" ht="12.75" customHeight="1">
      <c r="A11" s="4" t="str">
        <f t="shared" ref="A11:A42" si="0">P11</f>
        <v> BBS 21 </v>
      </c>
      <c r="B11" s="3" t="str">
        <f t="shared" ref="B11:B42" si="1">IF(H11=INT(H11),"I","II")</f>
        <v>II</v>
      </c>
      <c r="C11" s="4">
        <f t="shared" ref="C11:C42" si="2">1*G11</f>
        <v>42450.345999999998</v>
      </c>
      <c r="D11" t="str">
        <f t="shared" ref="D11:D42" si="3">VLOOKUP(F11,I$1:J$5,2,FALSE)</f>
        <v>vis</v>
      </c>
      <c r="E11">
        <f>VLOOKUP(C11,'Active 1'!C$21:E$971,3,FALSE)</f>
        <v>18062.277764622762</v>
      </c>
      <c r="F11" s="3" t="s">
        <v>86</v>
      </c>
      <c r="G11" t="str">
        <f t="shared" ref="G11:G42" si="4">MID(I11,3,LEN(I11)-3)</f>
        <v>42450.346</v>
      </c>
      <c r="H11" s="4">
        <f t="shared" ref="H11:H42" si="5">1*K11</f>
        <v>13434.5</v>
      </c>
      <c r="I11" s="18" t="s">
        <v>95</v>
      </c>
      <c r="J11" s="19" t="s">
        <v>96</v>
      </c>
      <c r="K11" s="18">
        <v>13434.5</v>
      </c>
      <c r="L11" s="18" t="s">
        <v>97</v>
      </c>
      <c r="M11" s="19" t="s">
        <v>98</v>
      </c>
      <c r="N11" s="19"/>
      <c r="O11" s="20" t="s">
        <v>99</v>
      </c>
      <c r="P11" s="20" t="s">
        <v>100</v>
      </c>
    </row>
    <row r="12" spans="1:16" ht="12.75" customHeight="1">
      <c r="A12" s="4" t="str">
        <f t="shared" si="0"/>
        <v> BBS 36 </v>
      </c>
      <c r="B12" s="3" t="str">
        <f t="shared" si="1"/>
        <v>II</v>
      </c>
      <c r="C12" s="4">
        <f t="shared" si="2"/>
        <v>43496.658000000003</v>
      </c>
      <c r="D12" t="str">
        <f t="shared" si="3"/>
        <v>vis</v>
      </c>
      <c r="E12">
        <f>VLOOKUP(C12,'Active 1'!C$21:E$971,3,FALSE)</f>
        <v>20109.851057042943</v>
      </c>
      <c r="F12" s="3" t="s">
        <v>86</v>
      </c>
      <c r="G12" t="str">
        <f t="shared" si="4"/>
        <v>43496.658</v>
      </c>
      <c r="H12" s="4">
        <f t="shared" si="5"/>
        <v>14957.5</v>
      </c>
      <c r="I12" s="18" t="s">
        <v>101</v>
      </c>
      <c r="J12" s="19" t="s">
        <v>102</v>
      </c>
      <c r="K12" s="18">
        <v>14957.5</v>
      </c>
      <c r="L12" s="18" t="s">
        <v>103</v>
      </c>
      <c r="M12" s="19" t="s">
        <v>98</v>
      </c>
      <c r="N12" s="19"/>
      <c r="O12" s="20" t="s">
        <v>99</v>
      </c>
      <c r="P12" s="20" t="s">
        <v>104</v>
      </c>
    </row>
    <row r="13" spans="1:16" ht="12.75" customHeight="1">
      <c r="A13" s="4" t="str">
        <f t="shared" si="0"/>
        <v>BAVM 102 </v>
      </c>
      <c r="B13" s="3" t="str">
        <f t="shared" si="1"/>
        <v>II</v>
      </c>
      <c r="C13" s="4">
        <f t="shared" si="2"/>
        <v>50444.448199999999</v>
      </c>
      <c r="D13" t="str">
        <f t="shared" si="3"/>
        <v>vis</v>
      </c>
      <c r="E13">
        <f>VLOOKUP(C13,'Active 1'!C$21:E$971,3,FALSE)</f>
        <v>33706.282766569922</v>
      </c>
      <c r="F13" s="3" t="s">
        <v>86</v>
      </c>
      <c r="G13" t="str">
        <f t="shared" si="4"/>
        <v>50444.4482</v>
      </c>
      <c r="H13" s="4">
        <f t="shared" si="5"/>
        <v>25070.5</v>
      </c>
      <c r="I13" s="18" t="s">
        <v>105</v>
      </c>
      <c r="J13" s="19" t="s">
        <v>106</v>
      </c>
      <c r="K13" s="18">
        <v>25070.5</v>
      </c>
      <c r="L13" s="18" t="s">
        <v>107</v>
      </c>
      <c r="M13" s="19" t="s">
        <v>108</v>
      </c>
      <c r="N13" s="19" t="s">
        <v>109</v>
      </c>
      <c r="O13" s="20" t="s">
        <v>110</v>
      </c>
      <c r="P13" s="21" t="s">
        <v>111</v>
      </c>
    </row>
    <row r="14" spans="1:16" ht="12.75" customHeight="1">
      <c r="A14" s="4" t="str">
        <f t="shared" si="0"/>
        <v>BAVM 102 </v>
      </c>
      <c r="B14" s="3" t="str">
        <f t="shared" si="1"/>
        <v>II</v>
      </c>
      <c r="C14" s="4">
        <f t="shared" si="2"/>
        <v>50508.321799999998</v>
      </c>
      <c r="D14" t="str">
        <f t="shared" si="3"/>
        <v>vis</v>
      </c>
      <c r="E14">
        <f>VLOOKUP(C14,'Active 1'!C$21:E$971,3,FALSE)</f>
        <v>33831.279782231337</v>
      </c>
      <c r="F14" s="3" t="s">
        <v>86</v>
      </c>
      <c r="G14" t="str">
        <f t="shared" si="4"/>
        <v>50508.3218</v>
      </c>
      <c r="H14" s="4">
        <f t="shared" si="5"/>
        <v>25163.5</v>
      </c>
      <c r="I14" s="18" t="s">
        <v>112</v>
      </c>
      <c r="J14" s="19" t="s">
        <v>113</v>
      </c>
      <c r="K14" s="18">
        <v>25163.5</v>
      </c>
      <c r="L14" s="18" t="s">
        <v>114</v>
      </c>
      <c r="M14" s="19" t="s">
        <v>108</v>
      </c>
      <c r="N14" s="19" t="s">
        <v>109</v>
      </c>
      <c r="O14" s="20" t="s">
        <v>110</v>
      </c>
      <c r="P14" s="21" t="s">
        <v>111</v>
      </c>
    </row>
    <row r="15" spans="1:16" ht="12.75" customHeight="1">
      <c r="A15" s="4" t="str">
        <f t="shared" si="0"/>
        <v>BAVM 102 </v>
      </c>
      <c r="B15" s="3" t="str">
        <f t="shared" si="1"/>
        <v>II</v>
      </c>
      <c r="C15" s="4">
        <f t="shared" si="2"/>
        <v>50519.308700000001</v>
      </c>
      <c r="D15" t="str">
        <f t="shared" si="3"/>
        <v>vis</v>
      </c>
      <c r="E15">
        <f>VLOOKUP(C15,'Active 1'!C$21:E$971,3,FALSE)</f>
        <v>33852.780522934394</v>
      </c>
      <c r="F15" s="3" t="s">
        <v>86</v>
      </c>
      <c r="G15" t="str">
        <f t="shared" si="4"/>
        <v>50519.3087</v>
      </c>
      <c r="H15" s="4">
        <f t="shared" si="5"/>
        <v>25179.5</v>
      </c>
      <c r="I15" s="18" t="s">
        <v>115</v>
      </c>
      <c r="J15" s="19" t="s">
        <v>116</v>
      </c>
      <c r="K15" s="18">
        <v>25179.5</v>
      </c>
      <c r="L15" s="18" t="s">
        <v>117</v>
      </c>
      <c r="M15" s="19" t="s">
        <v>108</v>
      </c>
      <c r="N15" s="19" t="s">
        <v>109</v>
      </c>
      <c r="O15" s="20" t="s">
        <v>110</v>
      </c>
      <c r="P15" s="21" t="s">
        <v>111</v>
      </c>
    </row>
    <row r="16" spans="1:16" ht="12.75" customHeight="1">
      <c r="A16" s="4" t="str">
        <f t="shared" si="0"/>
        <v>BAVM 102 </v>
      </c>
      <c r="B16" s="3" t="str">
        <f t="shared" si="1"/>
        <v>II</v>
      </c>
      <c r="C16" s="4">
        <f t="shared" si="2"/>
        <v>50530.299099999997</v>
      </c>
      <c r="D16" t="str">
        <f t="shared" si="3"/>
        <v>vis</v>
      </c>
      <c r="E16">
        <f>VLOOKUP(C16,'Active 1'!C$21:E$971,3,FALSE)</f>
        <v>33874.288112939103</v>
      </c>
      <c r="F16" s="3" t="s">
        <v>86</v>
      </c>
      <c r="G16" t="str">
        <f t="shared" si="4"/>
        <v>50530.2991</v>
      </c>
      <c r="H16" s="4">
        <f t="shared" si="5"/>
        <v>25195.5</v>
      </c>
      <c r="I16" s="18" t="s">
        <v>118</v>
      </c>
      <c r="J16" s="19" t="s">
        <v>119</v>
      </c>
      <c r="K16" s="18">
        <v>25195.5</v>
      </c>
      <c r="L16" s="18" t="s">
        <v>120</v>
      </c>
      <c r="M16" s="19" t="s">
        <v>108</v>
      </c>
      <c r="N16" s="19" t="s">
        <v>109</v>
      </c>
      <c r="O16" s="20" t="s">
        <v>110</v>
      </c>
      <c r="P16" s="21" t="s">
        <v>111</v>
      </c>
    </row>
    <row r="17" spans="1:16" ht="12.75" customHeight="1">
      <c r="A17" s="4" t="str">
        <f t="shared" si="0"/>
        <v>BAVM 117 </v>
      </c>
      <c r="B17" s="3" t="str">
        <f t="shared" si="1"/>
        <v>I</v>
      </c>
      <c r="C17" s="4">
        <f t="shared" si="2"/>
        <v>50743.638800000001</v>
      </c>
      <c r="D17" t="str">
        <f t="shared" si="3"/>
        <v>vis</v>
      </c>
      <c r="E17">
        <f>VLOOKUP(C17,'Active 1'!C$21:E$971,3,FALSE)</f>
        <v>34291.781816473936</v>
      </c>
      <c r="F17" s="3" t="s">
        <v>86</v>
      </c>
      <c r="G17" t="str">
        <f t="shared" si="4"/>
        <v>50743.6388</v>
      </c>
      <c r="H17" s="4">
        <f t="shared" si="5"/>
        <v>25506</v>
      </c>
      <c r="I17" s="18" t="s">
        <v>121</v>
      </c>
      <c r="J17" s="19" t="s">
        <v>122</v>
      </c>
      <c r="K17" s="18">
        <v>25506</v>
      </c>
      <c r="L17" s="18" t="s">
        <v>123</v>
      </c>
      <c r="M17" s="19" t="s">
        <v>108</v>
      </c>
      <c r="N17" s="19" t="s">
        <v>109</v>
      </c>
      <c r="O17" s="20" t="s">
        <v>110</v>
      </c>
      <c r="P17" s="21" t="s">
        <v>124</v>
      </c>
    </row>
    <row r="18" spans="1:16" ht="12.75" customHeight="1">
      <c r="A18" s="4" t="str">
        <f t="shared" si="0"/>
        <v>BAVM 117 </v>
      </c>
      <c r="B18" s="3" t="str">
        <f t="shared" si="1"/>
        <v>II</v>
      </c>
      <c r="C18" s="4">
        <f t="shared" si="2"/>
        <v>50799.592199999999</v>
      </c>
      <c r="D18" t="str">
        <f t="shared" si="3"/>
        <v>vis</v>
      </c>
      <c r="E18">
        <f>VLOOKUP(C18,'Active 1'!C$21:E$971,3,FALSE)</f>
        <v>34401.279449550973</v>
      </c>
      <c r="F18" s="3" t="s">
        <v>86</v>
      </c>
      <c r="G18" t="str">
        <f t="shared" si="4"/>
        <v>50799.5922</v>
      </c>
      <c r="H18" s="4">
        <f t="shared" si="5"/>
        <v>25587.5</v>
      </c>
      <c r="I18" s="18" t="s">
        <v>125</v>
      </c>
      <c r="J18" s="19" t="s">
        <v>126</v>
      </c>
      <c r="K18" s="18">
        <v>25587.5</v>
      </c>
      <c r="L18" s="18" t="s">
        <v>127</v>
      </c>
      <c r="M18" s="19" t="s">
        <v>108</v>
      </c>
      <c r="N18" s="19" t="s">
        <v>109</v>
      </c>
      <c r="O18" s="20" t="s">
        <v>110</v>
      </c>
      <c r="P18" s="21" t="s">
        <v>124</v>
      </c>
    </row>
    <row r="19" spans="1:16" ht="12.75" customHeight="1">
      <c r="A19" s="4" t="str">
        <f t="shared" si="0"/>
        <v>BAVM 117 </v>
      </c>
      <c r="B19" s="3" t="str">
        <f t="shared" si="1"/>
        <v>II</v>
      </c>
      <c r="C19" s="4">
        <f t="shared" si="2"/>
        <v>50824.376300000004</v>
      </c>
      <c r="D19" t="str">
        <f t="shared" si="3"/>
        <v>vis</v>
      </c>
      <c r="E19">
        <f>VLOOKUP(C19,'Active 1'!C$21:E$971,3,FALSE)</f>
        <v>34449.780528805233</v>
      </c>
      <c r="F19" s="3" t="s">
        <v>86</v>
      </c>
      <c r="G19" t="str">
        <f t="shared" si="4"/>
        <v>50824.3763</v>
      </c>
      <c r="H19" s="4">
        <f t="shared" si="5"/>
        <v>25623.5</v>
      </c>
      <c r="I19" s="18" t="s">
        <v>128</v>
      </c>
      <c r="J19" s="19" t="s">
        <v>129</v>
      </c>
      <c r="K19" s="18">
        <v>25623.5</v>
      </c>
      <c r="L19" s="18" t="s">
        <v>130</v>
      </c>
      <c r="M19" s="19" t="s">
        <v>108</v>
      </c>
      <c r="N19" s="19" t="s">
        <v>109</v>
      </c>
      <c r="O19" s="20" t="s">
        <v>110</v>
      </c>
      <c r="P19" s="21" t="s">
        <v>124</v>
      </c>
    </row>
    <row r="20" spans="1:16" ht="12.75" customHeight="1">
      <c r="A20" s="4" t="str">
        <f t="shared" si="0"/>
        <v>BAVM 117 </v>
      </c>
      <c r="B20" s="3" t="str">
        <f t="shared" si="1"/>
        <v>I</v>
      </c>
      <c r="C20" s="4">
        <f t="shared" si="2"/>
        <v>50825.399599999997</v>
      </c>
      <c r="D20" t="str">
        <f t="shared" si="3"/>
        <v>vis</v>
      </c>
      <c r="E20">
        <f>VLOOKUP(C20,'Active 1'!C$21:E$971,3,FALSE)</f>
        <v>34451.783068917663</v>
      </c>
      <c r="F20" s="3" t="s">
        <v>86</v>
      </c>
      <c r="G20" t="str">
        <f t="shared" si="4"/>
        <v>50825.3996</v>
      </c>
      <c r="H20" s="4">
        <f t="shared" si="5"/>
        <v>25625</v>
      </c>
      <c r="I20" s="18" t="s">
        <v>131</v>
      </c>
      <c r="J20" s="19" t="s">
        <v>132</v>
      </c>
      <c r="K20" s="18">
        <v>25625</v>
      </c>
      <c r="L20" s="18" t="s">
        <v>133</v>
      </c>
      <c r="M20" s="19" t="s">
        <v>108</v>
      </c>
      <c r="N20" s="19" t="s">
        <v>109</v>
      </c>
      <c r="O20" s="20" t="s">
        <v>110</v>
      </c>
      <c r="P20" s="21" t="s">
        <v>124</v>
      </c>
    </row>
    <row r="21" spans="1:16" ht="12.75" customHeight="1">
      <c r="A21" s="4" t="str">
        <f t="shared" si="0"/>
        <v>BAVM 117 </v>
      </c>
      <c r="B21" s="3" t="str">
        <f t="shared" si="1"/>
        <v>II</v>
      </c>
      <c r="C21" s="4">
        <f t="shared" si="2"/>
        <v>50839.45</v>
      </c>
      <c r="D21" t="str">
        <f t="shared" si="3"/>
        <v>vis</v>
      </c>
      <c r="E21">
        <f>VLOOKUP(C21,'Active 1'!C$21:E$971,3,FALSE)</f>
        <v>34479.278905520725</v>
      </c>
      <c r="F21" s="3" t="s">
        <v>86</v>
      </c>
      <c r="G21" t="str">
        <f t="shared" si="4"/>
        <v>50839.4500</v>
      </c>
      <c r="H21" s="4">
        <f t="shared" si="5"/>
        <v>25645.5</v>
      </c>
      <c r="I21" s="18" t="s">
        <v>134</v>
      </c>
      <c r="J21" s="19" t="s">
        <v>135</v>
      </c>
      <c r="K21" s="18">
        <v>25645.5</v>
      </c>
      <c r="L21" s="18" t="s">
        <v>136</v>
      </c>
      <c r="M21" s="19" t="s">
        <v>108</v>
      </c>
      <c r="N21" s="19" t="s">
        <v>109</v>
      </c>
      <c r="O21" s="20" t="s">
        <v>110</v>
      </c>
      <c r="P21" s="21" t="s">
        <v>124</v>
      </c>
    </row>
    <row r="22" spans="1:16" ht="12.75" customHeight="1">
      <c r="A22" s="4" t="str">
        <f t="shared" si="0"/>
        <v>BAVM 117 </v>
      </c>
      <c r="B22" s="3" t="str">
        <f t="shared" si="1"/>
        <v>II</v>
      </c>
      <c r="C22" s="4">
        <f t="shared" si="2"/>
        <v>50855.291700000002</v>
      </c>
      <c r="D22" t="str">
        <f t="shared" si="3"/>
        <v>vis</v>
      </c>
      <c r="E22">
        <f>VLOOKUP(C22,'Active 1'!C$21:E$971,3,FALSE)</f>
        <v>34510.280214715822</v>
      </c>
      <c r="F22" s="3" t="s">
        <v>86</v>
      </c>
      <c r="G22" t="str">
        <f t="shared" si="4"/>
        <v>50855.2917</v>
      </c>
      <c r="H22" s="4">
        <f t="shared" si="5"/>
        <v>25668.5</v>
      </c>
      <c r="I22" s="18" t="s">
        <v>137</v>
      </c>
      <c r="J22" s="19" t="s">
        <v>138</v>
      </c>
      <c r="K22" s="18">
        <v>25668.5</v>
      </c>
      <c r="L22" s="18" t="s">
        <v>139</v>
      </c>
      <c r="M22" s="19" t="s">
        <v>108</v>
      </c>
      <c r="N22" s="19" t="s">
        <v>109</v>
      </c>
      <c r="O22" s="20" t="s">
        <v>110</v>
      </c>
      <c r="P22" s="21" t="s">
        <v>124</v>
      </c>
    </row>
    <row r="23" spans="1:16" ht="12.75" customHeight="1">
      <c r="A23" s="4" t="str">
        <f t="shared" si="0"/>
        <v>BAVM 117 </v>
      </c>
      <c r="B23" s="3" t="str">
        <f t="shared" si="1"/>
        <v>I</v>
      </c>
      <c r="C23" s="4">
        <f t="shared" si="2"/>
        <v>51165.467600000004</v>
      </c>
      <c r="D23" t="str">
        <f t="shared" si="3"/>
        <v>vis</v>
      </c>
      <c r="E23">
        <f>VLOOKUP(C23,'Active 1'!C$21:E$971,3,FALSE)</f>
        <v>35117.276874213559</v>
      </c>
      <c r="F23" s="3" t="s">
        <v>86</v>
      </c>
      <c r="G23" t="str">
        <f t="shared" si="4"/>
        <v>51165.4676</v>
      </c>
      <c r="H23" s="4">
        <f t="shared" si="5"/>
        <v>26120</v>
      </c>
      <c r="I23" s="18" t="s">
        <v>140</v>
      </c>
      <c r="J23" s="19" t="s">
        <v>141</v>
      </c>
      <c r="K23" s="18">
        <v>26120</v>
      </c>
      <c r="L23" s="18" t="s">
        <v>142</v>
      </c>
      <c r="M23" s="19" t="s">
        <v>108</v>
      </c>
      <c r="N23" s="19" t="s">
        <v>109</v>
      </c>
      <c r="O23" s="20" t="s">
        <v>110</v>
      </c>
      <c r="P23" s="21" t="s">
        <v>124</v>
      </c>
    </row>
    <row r="24" spans="1:16" ht="12.75" customHeight="1">
      <c r="A24" s="4" t="str">
        <f t="shared" si="0"/>
        <v>BAVM 128 </v>
      </c>
      <c r="B24" s="3" t="str">
        <f t="shared" si="1"/>
        <v>II</v>
      </c>
      <c r="C24" s="4">
        <f t="shared" si="2"/>
        <v>51252.339899999999</v>
      </c>
      <c r="D24" t="str">
        <f t="shared" si="3"/>
        <v>vis</v>
      </c>
      <c r="E24">
        <f>VLOOKUP(C24,'Active 1'!C$21:E$971,3,FALSE)</f>
        <v>35287.281042502844</v>
      </c>
      <c r="F24" s="3" t="s">
        <v>86</v>
      </c>
      <c r="G24" t="str">
        <f t="shared" si="4"/>
        <v>51252.3399</v>
      </c>
      <c r="H24" s="4">
        <f t="shared" si="5"/>
        <v>26246.5</v>
      </c>
      <c r="I24" s="18" t="s">
        <v>143</v>
      </c>
      <c r="J24" s="19" t="s">
        <v>144</v>
      </c>
      <c r="K24" s="18">
        <v>26246.5</v>
      </c>
      <c r="L24" s="18" t="s">
        <v>145</v>
      </c>
      <c r="M24" s="19" t="s">
        <v>108</v>
      </c>
      <c r="N24" s="19" t="s">
        <v>109</v>
      </c>
      <c r="O24" s="20" t="s">
        <v>110</v>
      </c>
      <c r="P24" s="21" t="s">
        <v>146</v>
      </c>
    </row>
    <row r="25" spans="1:16" ht="12.75" customHeight="1">
      <c r="A25" s="4" t="str">
        <f t="shared" si="0"/>
        <v>OEJV 0074 </v>
      </c>
      <c r="B25" s="3" t="str">
        <f t="shared" si="1"/>
        <v>II</v>
      </c>
      <c r="C25" s="4">
        <f t="shared" si="2"/>
        <v>52321.351900000001</v>
      </c>
      <c r="D25" t="str">
        <f t="shared" si="3"/>
        <v>vis</v>
      </c>
      <c r="E25">
        <f>VLOOKUP(C25,'Active 1'!C$21:E$971,3,FALSE)</f>
        <v>37379.276948577397</v>
      </c>
      <c r="F25" s="3" t="s">
        <v>86</v>
      </c>
      <c r="G25" t="str">
        <f t="shared" si="4"/>
        <v>52321.35190</v>
      </c>
      <c r="H25" s="4">
        <f t="shared" si="5"/>
        <v>27802.5</v>
      </c>
      <c r="I25" s="18" t="s">
        <v>147</v>
      </c>
      <c r="J25" s="19" t="s">
        <v>148</v>
      </c>
      <c r="K25" s="18">
        <v>27802.5</v>
      </c>
      <c r="L25" s="18" t="s">
        <v>149</v>
      </c>
      <c r="M25" s="19" t="s">
        <v>150</v>
      </c>
      <c r="N25" s="19" t="s">
        <v>86</v>
      </c>
      <c r="O25" s="20" t="s">
        <v>151</v>
      </c>
      <c r="P25" s="21" t="s">
        <v>152</v>
      </c>
    </row>
    <row r="26" spans="1:16" ht="12.75" customHeight="1">
      <c r="A26" s="4" t="str">
        <f t="shared" si="0"/>
        <v>BAVM 178 </v>
      </c>
      <c r="B26" s="3" t="str">
        <f t="shared" si="1"/>
        <v>II</v>
      </c>
      <c r="C26" s="4">
        <f t="shared" si="2"/>
        <v>52690.2955</v>
      </c>
      <c r="D26" t="str">
        <f t="shared" si="3"/>
        <v>vis</v>
      </c>
      <c r="E26">
        <f>VLOOKUP(C26,'Active 1'!C$21:E$971,3,FALSE)</f>
        <v>38101.278666773644</v>
      </c>
      <c r="F26" s="3" t="s">
        <v>86</v>
      </c>
      <c r="G26" t="str">
        <f t="shared" si="4"/>
        <v>52690.2955</v>
      </c>
      <c r="H26" s="4">
        <f t="shared" si="5"/>
        <v>28339.5</v>
      </c>
      <c r="I26" s="18" t="s">
        <v>153</v>
      </c>
      <c r="J26" s="19" t="s">
        <v>154</v>
      </c>
      <c r="K26" s="18">
        <v>28339.5</v>
      </c>
      <c r="L26" s="18" t="s">
        <v>155</v>
      </c>
      <c r="M26" s="19" t="s">
        <v>150</v>
      </c>
      <c r="N26" s="19" t="s">
        <v>109</v>
      </c>
      <c r="O26" s="20" t="s">
        <v>156</v>
      </c>
      <c r="P26" s="21" t="s">
        <v>67</v>
      </c>
    </row>
    <row r="27" spans="1:16" ht="12.75" customHeight="1">
      <c r="A27" s="4" t="str">
        <f t="shared" si="0"/>
        <v>BAVM 172 </v>
      </c>
      <c r="B27" s="3" t="str">
        <f t="shared" si="1"/>
        <v>II</v>
      </c>
      <c r="C27" s="4">
        <f t="shared" si="2"/>
        <v>52690.2955</v>
      </c>
      <c r="D27" t="str">
        <f t="shared" si="3"/>
        <v>vis</v>
      </c>
      <c r="E27">
        <f>VLOOKUP(C27,'Active 1'!C$21:E$971,3,FALSE)</f>
        <v>38101.278666773644</v>
      </c>
      <c r="F27" s="3" t="s">
        <v>86</v>
      </c>
      <c r="G27" t="str">
        <f t="shared" si="4"/>
        <v>52690.2955</v>
      </c>
      <c r="H27" s="4">
        <f t="shared" si="5"/>
        <v>28339.5</v>
      </c>
      <c r="I27" s="18" t="s">
        <v>153</v>
      </c>
      <c r="J27" s="19" t="s">
        <v>154</v>
      </c>
      <c r="K27" s="18">
        <v>28339.5</v>
      </c>
      <c r="L27" s="18" t="s">
        <v>155</v>
      </c>
      <c r="M27" s="19" t="s">
        <v>108</v>
      </c>
      <c r="N27" s="19" t="s">
        <v>109</v>
      </c>
      <c r="O27" s="20" t="s">
        <v>157</v>
      </c>
      <c r="P27" s="21" t="s">
        <v>158</v>
      </c>
    </row>
    <row r="28" spans="1:16" ht="12.75" customHeight="1">
      <c r="A28" s="4" t="str">
        <f t="shared" si="0"/>
        <v>IBVS 5676 </v>
      </c>
      <c r="B28" s="3" t="str">
        <f t="shared" si="1"/>
        <v>II</v>
      </c>
      <c r="C28" s="4">
        <f t="shared" si="2"/>
        <v>52981.567600000002</v>
      </c>
      <c r="D28" t="str">
        <f t="shared" si="3"/>
        <v>vis</v>
      </c>
      <c r="E28">
        <f>VLOOKUP(C28,'Active 1'!C$21:E$971,3,FALSE)</f>
        <v>38671.281660896944</v>
      </c>
      <c r="F28" s="3" t="s">
        <v>86</v>
      </c>
      <c r="G28" t="str">
        <f t="shared" si="4"/>
        <v>52981.5676</v>
      </c>
      <c r="H28" s="4">
        <f t="shared" si="5"/>
        <v>28763.5</v>
      </c>
      <c r="I28" s="18" t="s">
        <v>159</v>
      </c>
      <c r="J28" s="19" t="s">
        <v>160</v>
      </c>
      <c r="K28" s="18">
        <v>28763.5</v>
      </c>
      <c r="L28" s="18" t="s">
        <v>161</v>
      </c>
      <c r="M28" s="19" t="s">
        <v>108</v>
      </c>
      <c r="N28" s="19" t="s">
        <v>162</v>
      </c>
      <c r="O28" s="20" t="s">
        <v>163</v>
      </c>
      <c r="P28" s="21" t="s">
        <v>164</v>
      </c>
    </row>
    <row r="29" spans="1:16" ht="12.75" customHeight="1">
      <c r="A29" s="4" t="str">
        <f t="shared" si="0"/>
        <v>IBVS 5676 </v>
      </c>
      <c r="B29" s="3" t="str">
        <f t="shared" si="1"/>
        <v>I</v>
      </c>
      <c r="C29" s="4">
        <f t="shared" si="2"/>
        <v>53062.304499999998</v>
      </c>
      <c r="D29" t="str">
        <f t="shared" si="3"/>
        <v>vis</v>
      </c>
      <c r="E29">
        <f>VLOOKUP(C29,'Active 1'!C$21:E$971,3,FALSE)</f>
        <v>38829.279199062228</v>
      </c>
      <c r="F29" s="3" t="s">
        <v>86</v>
      </c>
      <c r="G29" t="str">
        <f t="shared" si="4"/>
        <v>53062.3045</v>
      </c>
      <c r="H29" s="4">
        <f t="shared" si="5"/>
        <v>28881</v>
      </c>
      <c r="I29" s="18" t="s">
        <v>165</v>
      </c>
      <c r="J29" s="19" t="s">
        <v>166</v>
      </c>
      <c r="K29" s="18">
        <v>28881</v>
      </c>
      <c r="L29" s="18" t="s">
        <v>167</v>
      </c>
      <c r="M29" s="19" t="s">
        <v>108</v>
      </c>
      <c r="N29" s="19" t="s">
        <v>162</v>
      </c>
      <c r="O29" s="20" t="s">
        <v>163</v>
      </c>
      <c r="P29" s="21" t="s">
        <v>164</v>
      </c>
    </row>
    <row r="30" spans="1:16" ht="12.75" customHeight="1">
      <c r="A30" s="4" t="str">
        <f t="shared" si="0"/>
        <v>IBVS 5583 </v>
      </c>
      <c r="B30" s="3" t="str">
        <f t="shared" si="1"/>
        <v>I</v>
      </c>
      <c r="C30" s="4">
        <f t="shared" si="2"/>
        <v>53068.436900000001</v>
      </c>
      <c r="D30" t="str">
        <f t="shared" si="3"/>
        <v>vis</v>
      </c>
      <c r="E30">
        <f>VLOOKUP(C30,'Active 1'!C$21:E$971,3,FALSE)</f>
        <v>38841.279958356245</v>
      </c>
      <c r="F30" s="3" t="s">
        <v>86</v>
      </c>
      <c r="G30" t="str">
        <f t="shared" si="4"/>
        <v>53068.4369</v>
      </c>
      <c r="H30" s="4">
        <f t="shared" si="5"/>
        <v>28890</v>
      </c>
      <c r="I30" s="18" t="s">
        <v>168</v>
      </c>
      <c r="J30" s="19" t="s">
        <v>169</v>
      </c>
      <c r="K30" s="18">
        <v>28890</v>
      </c>
      <c r="L30" s="18" t="s">
        <v>170</v>
      </c>
      <c r="M30" s="19" t="s">
        <v>108</v>
      </c>
      <c r="N30" s="19" t="s">
        <v>171</v>
      </c>
      <c r="O30" s="20" t="s">
        <v>172</v>
      </c>
      <c r="P30" s="21" t="s">
        <v>173</v>
      </c>
    </row>
    <row r="31" spans="1:16" ht="12.75" customHeight="1">
      <c r="A31" s="4" t="str">
        <f t="shared" si="0"/>
        <v> JAAVSO 41;122 </v>
      </c>
      <c r="B31" s="3" t="str">
        <f t="shared" si="1"/>
        <v>II</v>
      </c>
      <c r="C31" s="4">
        <f t="shared" si="2"/>
        <v>53068.691800000001</v>
      </c>
      <c r="D31" t="str">
        <f t="shared" si="3"/>
        <v>vis</v>
      </c>
      <c r="E31">
        <f>VLOOKUP(C31,'Active 1'!C$21:E$971,3,FALSE)</f>
        <v>38841.778783211768</v>
      </c>
      <c r="F31" s="3" t="s">
        <v>86</v>
      </c>
      <c r="G31" t="str">
        <f t="shared" si="4"/>
        <v>53068.6918</v>
      </c>
      <c r="H31" s="4">
        <f t="shared" si="5"/>
        <v>28890.5</v>
      </c>
      <c r="I31" s="18" t="s">
        <v>174</v>
      </c>
      <c r="J31" s="19" t="s">
        <v>175</v>
      </c>
      <c r="K31" s="18">
        <v>28890.5</v>
      </c>
      <c r="L31" s="18" t="s">
        <v>176</v>
      </c>
      <c r="M31" s="19" t="s">
        <v>150</v>
      </c>
      <c r="N31" s="19" t="s">
        <v>98</v>
      </c>
      <c r="O31" s="20" t="s">
        <v>177</v>
      </c>
      <c r="P31" s="20" t="s">
        <v>178</v>
      </c>
    </row>
    <row r="32" spans="1:16" ht="12.75" customHeight="1">
      <c r="A32" s="4" t="str">
        <f t="shared" si="0"/>
        <v>BAVM 209 </v>
      </c>
      <c r="B32" s="3" t="str">
        <f t="shared" si="1"/>
        <v>I</v>
      </c>
      <c r="C32" s="4">
        <f t="shared" si="2"/>
        <v>54832.417500000003</v>
      </c>
      <c r="D32" t="str">
        <f t="shared" si="3"/>
        <v>vis</v>
      </c>
      <c r="E32">
        <f>VLOOKUP(C32,'Active 1'!C$21:E$971,3,FALSE)</f>
        <v>42293.290032700526</v>
      </c>
      <c r="F32" s="3" t="s">
        <v>86</v>
      </c>
      <c r="G32" t="str">
        <f t="shared" si="4"/>
        <v>54832.4175</v>
      </c>
      <c r="H32" s="4">
        <f t="shared" si="5"/>
        <v>31458</v>
      </c>
      <c r="I32" s="18" t="s">
        <v>179</v>
      </c>
      <c r="J32" s="19" t="s">
        <v>180</v>
      </c>
      <c r="K32" s="18">
        <v>31458</v>
      </c>
      <c r="L32" s="18" t="s">
        <v>181</v>
      </c>
      <c r="M32" s="19" t="s">
        <v>150</v>
      </c>
      <c r="N32" s="19" t="s">
        <v>182</v>
      </c>
      <c r="O32" s="20" t="s">
        <v>183</v>
      </c>
      <c r="P32" s="21" t="s">
        <v>184</v>
      </c>
    </row>
    <row r="33" spans="1:16" ht="12.75" customHeight="1">
      <c r="A33" s="4" t="str">
        <f t="shared" si="0"/>
        <v>IBVS 5894 </v>
      </c>
      <c r="B33" s="3" t="str">
        <f t="shared" si="1"/>
        <v>II</v>
      </c>
      <c r="C33" s="4">
        <f t="shared" si="2"/>
        <v>54887.604200000002</v>
      </c>
      <c r="D33" t="str">
        <f t="shared" si="3"/>
        <v>vis</v>
      </c>
      <c r="E33">
        <f>VLOOKUP(C33,'Active 1'!C$21:E$971,3,FALSE)</f>
        <v>42401.287277324307</v>
      </c>
      <c r="F33" s="3" t="s">
        <v>86</v>
      </c>
      <c r="G33" t="str">
        <f t="shared" si="4"/>
        <v>54887.6042</v>
      </c>
      <c r="H33" s="4">
        <f t="shared" si="5"/>
        <v>31538.5</v>
      </c>
      <c r="I33" s="18" t="s">
        <v>185</v>
      </c>
      <c r="J33" s="19" t="s">
        <v>186</v>
      </c>
      <c r="K33" s="18" t="s">
        <v>187</v>
      </c>
      <c r="L33" s="18" t="s">
        <v>188</v>
      </c>
      <c r="M33" s="19" t="s">
        <v>150</v>
      </c>
      <c r="N33" s="19" t="s">
        <v>86</v>
      </c>
      <c r="O33" s="20" t="s">
        <v>99</v>
      </c>
      <c r="P33" s="21" t="s">
        <v>189</v>
      </c>
    </row>
    <row r="34" spans="1:16" ht="12.75" customHeight="1">
      <c r="A34" s="4" t="str">
        <f t="shared" si="0"/>
        <v>IBVS 5992 </v>
      </c>
      <c r="B34" s="3" t="str">
        <f t="shared" si="1"/>
        <v>II</v>
      </c>
      <c r="C34" s="4">
        <f t="shared" si="2"/>
        <v>55609.651700000002</v>
      </c>
      <c r="D34" t="str">
        <f t="shared" si="3"/>
        <v>vis</v>
      </c>
      <c r="E34">
        <f>VLOOKUP(C34,'Active 1'!C$21:E$971,3,FALSE)</f>
        <v>43814.293318408381</v>
      </c>
      <c r="F34" s="3" t="s">
        <v>86</v>
      </c>
      <c r="G34" t="str">
        <f t="shared" si="4"/>
        <v>55609.6517</v>
      </c>
      <c r="H34" s="4">
        <f t="shared" si="5"/>
        <v>32589.5</v>
      </c>
      <c r="I34" s="18" t="s">
        <v>190</v>
      </c>
      <c r="J34" s="19" t="s">
        <v>191</v>
      </c>
      <c r="K34" s="18" t="s">
        <v>192</v>
      </c>
      <c r="L34" s="18" t="s">
        <v>193</v>
      </c>
      <c r="M34" s="19" t="s">
        <v>150</v>
      </c>
      <c r="N34" s="19" t="s">
        <v>86</v>
      </c>
      <c r="O34" s="20" t="s">
        <v>99</v>
      </c>
      <c r="P34" s="21" t="s">
        <v>194</v>
      </c>
    </row>
    <row r="35" spans="1:16" ht="12.75" customHeight="1">
      <c r="A35" s="4" t="str">
        <f t="shared" si="0"/>
        <v>BAVM 220 </v>
      </c>
      <c r="B35" s="3" t="str">
        <f t="shared" si="1"/>
        <v>I</v>
      </c>
      <c r="C35" s="4">
        <f t="shared" si="2"/>
        <v>55642.355000000003</v>
      </c>
      <c r="D35" t="str">
        <f t="shared" si="3"/>
        <v>vis</v>
      </c>
      <c r="E35">
        <f>VLOOKUP(C35,'Active 1'!C$21:E$971,3,FALSE)</f>
        <v>43878.291823303676</v>
      </c>
      <c r="F35" s="3" t="s">
        <v>86</v>
      </c>
      <c r="G35" t="str">
        <f t="shared" si="4"/>
        <v>55642.3550</v>
      </c>
      <c r="H35" s="4">
        <f t="shared" si="5"/>
        <v>32637</v>
      </c>
      <c r="I35" s="18" t="s">
        <v>195</v>
      </c>
      <c r="J35" s="19" t="s">
        <v>196</v>
      </c>
      <c r="K35" s="18" t="s">
        <v>197</v>
      </c>
      <c r="L35" s="18" t="s">
        <v>198</v>
      </c>
      <c r="M35" s="19" t="s">
        <v>150</v>
      </c>
      <c r="N35" s="19" t="s">
        <v>109</v>
      </c>
      <c r="O35" s="20" t="s">
        <v>157</v>
      </c>
      <c r="P35" s="21" t="s">
        <v>199</v>
      </c>
    </row>
    <row r="36" spans="1:16" ht="12.75" customHeight="1">
      <c r="A36" s="4" t="str">
        <f t="shared" si="0"/>
        <v>OEJV 0160 </v>
      </c>
      <c r="B36" s="3" t="str">
        <f t="shared" si="1"/>
        <v>I</v>
      </c>
      <c r="C36" s="4">
        <f t="shared" si="2"/>
        <v>56269.610240000002</v>
      </c>
      <c r="D36" t="str">
        <f t="shared" si="3"/>
        <v>vis</v>
      </c>
      <c r="E36">
        <f>VLOOKUP(C36,'Active 1'!C$21:E$971,3,FALSE)</f>
        <v>45105.794783180463</v>
      </c>
      <c r="F36" s="3" t="s">
        <v>86</v>
      </c>
      <c r="G36" t="str">
        <f t="shared" si="4"/>
        <v>56269.61024</v>
      </c>
      <c r="H36" s="4">
        <f t="shared" si="5"/>
        <v>33550</v>
      </c>
      <c r="I36" s="18" t="s">
        <v>200</v>
      </c>
      <c r="J36" s="19" t="s">
        <v>201</v>
      </c>
      <c r="K36" s="18" t="s">
        <v>202</v>
      </c>
      <c r="L36" s="18" t="s">
        <v>203</v>
      </c>
      <c r="M36" s="19" t="s">
        <v>150</v>
      </c>
      <c r="N36" s="19" t="s">
        <v>171</v>
      </c>
      <c r="O36" s="20" t="s">
        <v>204</v>
      </c>
      <c r="P36" s="21" t="s">
        <v>205</v>
      </c>
    </row>
    <row r="37" spans="1:16" ht="12.75" customHeight="1">
      <c r="A37" s="4" t="str">
        <f t="shared" si="0"/>
        <v>BAVM 234 </v>
      </c>
      <c r="B37" s="3" t="str">
        <f t="shared" si="1"/>
        <v>I</v>
      </c>
      <c r="C37" s="4">
        <f t="shared" si="2"/>
        <v>56612.484700000001</v>
      </c>
      <c r="D37" t="str">
        <f t="shared" si="3"/>
        <v>vis</v>
      </c>
      <c r="E37">
        <f>VLOOKUP(C37,'Active 1'!C$21:E$971,3,FALSE)</f>
        <v>45776.780671662091</v>
      </c>
      <c r="F37" s="3" t="s">
        <v>86</v>
      </c>
      <c r="G37" t="str">
        <f t="shared" si="4"/>
        <v>56612.4847</v>
      </c>
      <c r="H37" s="4">
        <f t="shared" si="5"/>
        <v>34049</v>
      </c>
      <c r="I37" s="18" t="s">
        <v>206</v>
      </c>
      <c r="J37" s="19" t="s">
        <v>207</v>
      </c>
      <c r="K37" s="18" t="s">
        <v>208</v>
      </c>
      <c r="L37" s="18" t="s">
        <v>209</v>
      </c>
      <c r="M37" s="19" t="s">
        <v>150</v>
      </c>
      <c r="N37" s="19" t="s">
        <v>109</v>
      </c>
      <c r="O37" s="20" t="s">
        <v>157</v>
      </c>
      <c r="P37" s="21" t="s">
        <v>210</v>
      </c>
    </row>
    <row r="38" spans="1:16" ht="12.75" customHeight="1">
      <c r="A38" s="4" t="str">
        <f t="shared" si="0"/>
        <v> AHSB 7.3.181 </v>
      </c>
      <c r="B38" s="3" t="str">
        <f t="shared" si="1"/>
        <v>I</v>
      </c>
      <c r="C38" s="4">
        <f t="shared" si="2"/>
        <v>29344.296999999999</v>
      </c>
      <c r="D38" t="str">
        <f t="shared" si="3"/>
        <v>vis</v>
      </c>
      <c r="E38">
        <f>VLOOKUP(C38,'Active 1'!C$21:E$971,3,FALSE)</f>
        <v>-7585.5174451713438</v>
      </c>
      <c r="F38" s="3" t="s">
        <v>86</v>
      </c>
      <c r="G38" t="str">
        <f t="shared" si="4"/>
        <v>29344.297</v>
      </c>
      <c r="H38" s="4">
        <f t="shared" si="5"/>
        <v>-5642</v>
      </c>
      <c r="I38" s="18" t="s">
        <v>211</v>
      </c>
      <c r="J38" s="19" t="s">
        <v>212</v>
      </c>
      <c r="K38" s="18">
        <v>-5642</v>
      </c>
      <c r="L38" s="18" t="s">
        <v>213</v>
      </c>
      <c r="M38" s="19" t="s">
        <v>214</v>
      </c>
      <c r="N38" s="19"/>
      <c r="O38" s="20" t="s">
        <v>215</v>
      </c>
      <c r="P38" s="20" t="s">
        <v>44</v>
      </c>
    </row>
    <row r="39" spans="1:16" ht="12.75" customHeight="1">
      <c r="A39" s="4" t="str">
        <f t="shared" si="0"/>
        <v> AHSB 7.3.181 </v>
      </c>
      <c r="B39" s="3" t="str">
        <f t="shared" si="1"/>
        <v>I</v>
      </c>
      <c r="C39" s="4">
        <f t="shared" si="2"/>
        <v>30382.414000000001</v>
      </c>
      <c r="D39" t="str">
        <f t="shared" si="3"/>
        <v>vis</v>
      </c>
      <c r="E39">
        <f>VLOOKUP(C39,'Active 1'!C$21:E$971,3,FALSE)</f>
        <v>-5553.9813033633982</v>
      </c>
      <c r="F39" s="3" t="s">
        <v>86</v>
      </c>
      <c r="G39" t="str">
        <f t="shared" si="4"/>
        <v>30382.414</v>
      </c>
      <c r="H39" s="4">
        <f t="shared" si="5"/>
        <v>-4131</v>
      </c>
      <c r="I39" s="18" t="s">
        <v>216</v>
      </c>
      <c r="J39" s="19" t="s">
        <v>217</v>
      </c>
      <c r="K39" s="18">
        <v>-4131</v>
      </c>
      <c r="L39" s="18" t="s">
        <v>218</v>
      </c>
      <c r="M39" s="19" t="s">
        <v>214</v>
      </c>
      <c r="N39" s="19"/>
      <c r="O39" s="20" t="s">
        <v>215</v>
      </c>
      <c r="P39" s="20" t="s">
        <v>44</v>
      </c>
    </row>
    <row r="40" spans="1:16" ht="12.75" customHeight="1">
      <c r="A40" s="4" t="str">
        <f t="shared" si="0"/>
        <v> AHSB 7.3.181 </v>
      </c>
      <c r="B40" s="3" t="str">
        <f t="shared" si="1"/>
        <v>I</v>
      </c>
      <c r="C40" s="4">
        <f t="shared" si="2"/>
        <v>31846.448</v>
      </c>
      <c r="D40" t="str">
        <f t="shared" si="3"/>
        <v>vis</v>
      </c>
      <c r="E40">
        <f>VLOOKUP(C40,'Active 1'!C$21:E$971,3,FALSE)</f>
        <v>-2688.9497280827245</v>
      </c>
      <c r="F40" s="3" t="s">
        <v>86</v>
      </c>
      <c r="G40" t="str">
        <f t="shared" si="4"/>
        <v>31846.448</v>
      </c>
      <c r="H40" s="4">
        <f t="shared" si="5"/>
        <v>-2000</v>
      </c>
      <c r="I40" s="18" t="s">
        <v>219</v>
      </c>
      <c r="J40" s="19" t="s">
        <v>220</v>
      </c>
      <c r="K40" s="18">
        <v>-2000</v>
      </c>
      <c r="L40" s="18" t="s">
        <v>221</v>
      </c>
      <c r="M40" s="19" t="s">
        <v>214</v>
      </c>
      <c r="N40" s="19"/>
      <c r="O40" s="20" t="s">
        <v>215</v>
      </c>
      <c r="P40" s="20" t="s">
        <v>44</v>
      </c>
    </row>
    <row r="41" spans="1:16" ht="12.75" customHeight="1">
      <c r="A41" s="4" t="str">
        <f t="shared" si="0"/>
        <v> AHSB 7.3.181 </v>
      </c>
      <c r="B41" s="3" t="str">
        <f t="shared" si="1"/>
        <v>I</v>
      </c>
      <c r="C41" s="4">
        <f t="shared" si="2"/>
        <v>33220.512999999999</v>
      </c>
      <c r="D41" t="str">
        <f t="shared" si="3"/>
        <v>vis</v>
      </c>
      <c r="E41">
        <f>VLOOKUP(C41,'Active 1'!C$21:E$971,3,FALSE)</f>
        <v>1.761248999159603E-2</v>
      </c>
      <c r="F41" s="3" t="s">
        <v>86</v>
      </c>
      <c r="G41" t="str">
        <f t="shared" si="4"/>
        <v>33220.513</v>
      </c>
      <c r="H41" s="4">
        <f t="shared" si="5"/>
        <v>0</v>
      </c>
      <c r="I41" s="18" t="s">
        <v>222</v>
      </c>
      <c r="J41" s="19" t="s">
        <v>223</v>
      </c>
      <c r="K41" s="18">
        <v>0</v>
      </c>
      <c r="L41" s="18" t="s">
        <v>224</v>
      </c>
      <c r="M41" s="19" t="s">
        <v>214</v>
      </c>
      <c r="N41" s="19"/>
      <c r="O41" s="20" t="s">
        <v>215</v>
      </c>
      <c r="P41" s="20" t="s">
        <v>44</v>
      </c>
    </row>
    <row r="42" spans="1:16" ht="12.75" customHeight="1">
      <c r="A42" s="4" t="str">
        <f t="shared" si="0"/>
        <v> AHSB 7.3.181 </v>
      </c>
      <c r="B42" s="3" t="str">
        <f t="shared" si="1"/>
        <v>I</v>
      </c>
      <c r="C42" s="4">
        <f t="shared" si="2"/>
        <v>34768.379000000001</v>
      </c>
      <c r="D42" t="str">
        <f t="shared" si="3"/>
        <v>vis</v>
      </c>
      <c r="E42">
        <f>VLOOKUP(C42,'Active 1'!C$21:E$971,3,FALSE)</f>
        <v>3029.1036612452813</v>
      </c>
      <c r="F42" s="3" t="s">
        <v>86</v>
      </c>
      <c r="G42" t="str">
        <f t="shared" si="4"/>
        <v>34768.379</v>
      </c>
      <c r="H42" s="4">
        <f t="shared" si="5"/>
        <v>2253</v>
      </c>
      <c r="I42" s="18" t="s">
        <v>225</v>
      </c>
      <c r="J42" s="19" t="s">
        <v>226</v>
      </c>
      <c r="K42" s="18">
        <v>2253</v>
      </c>
      <c r="L42" s="18" t="s">
        <v>227</v>
      </c>
      <c r="M42" s="19" t="s">
        <v>214</v>
      </c>
      <c r="N42" s="19"/>
      <c r="O42" s="20" t="s">
        <v>215</v>
      </c>
      <c r="P42" s="20" t="s">
        <v>44</v>
      </c>
    </row>
    <row r="43" spans="1:16" ht="12.75" customHeight="1">
      <c r="A43" s="4" t="str">
        <f t="shared" ref="A43:A63" si="6">P43</f>
        <v> AHSB 7.3.181 </v>
      </c>
      <c r="B43" s="3" t="str">
        <f t="shared" ref="B43:B63" si="7">IF(H43=INT(H43),"I","II")</f>
        <v>I</v>
      </c>
      <c r="C43" s="4">
        <f t="shared" ref="C43:C63" si="8">1*G43</f>
        <v>35161.351000000002</v>
      </c>
      <c r="D43" t="str">
        <f t="shared" ref="D43:D63" si="9">VLOOKUP(F43,I$1:J$5,2,FALSE)</f>
        <v>vis</v>
      </c>
      <c r="E43">
        <f>VLOOKUP(C43,'Active 1'!C$21:E$971,3,FALSE)</f>
        <v>3798.1275966191874</v>
      </c>
      <c r="F43" s="3" t="s">
        <v>86</v>
      </c>
      <c r="G43" t="str">
        <f t="shared" ref="G43:G63" si="10">MID(I43,3,LEN(I43)-3)</f>
        <v>35161.351</v>
      </c>
      <c r="H43" s="4">
        <f t="shared" ref="H43:H63" si="11">1*K43</f>
        <v>2825</v>
      </c>
      <c r="I43" s="18" t="s">
        <v>228</v>
      </c>
      <c r="J43" s="19" t="s">
        <v>229</v>
      </c>
      <c r="K43" s="18">
        <v>2825</v>
      </c>
      <c r="L43" s="18" t="s">
        <v>97</v>
      </c>
      <c r="M43" s="19" t="s">
        <v>214</v>
      </c>
      <c r="N43" s="19"/>
      <c r="O43" s="20" t="s">
        <v>215</v>
      </c>
      <c r="P43" s="20" t="s">
        <v>44</v>
      </c>
    </row>
    <row r="44" spans="1:16" ht="12.75" customHeight="1">
      <c r="A44" s="4" t="str">
        <f t="shared" si="6"/>
        <v> AHSB 7.3.181 </v>
      </c>
      <c r="B44" s="3" t="str">
        <f t="shared" si="7"/>
        <v>I</v>
      </c>
      <c r="C44" s="4">
        <f t="shared" si="8"/>
        <v>36983.343000000001</v>
      </c>
      <c r="D44" t="str">
        <f t="shared" si="9"/>
        <v>vis</v>
      </c>
      <c r="E44">
        <f>VLOOKUP(C44,'Active 1'!C$21:E$971,3,FALSE)</f>
        <v>7363.6626934193864</v>
      </c>
      <c r="F44" s="3" t="s">
        <v>86</v>
      </c>
      <c r="G44" t="str">
        <f t="shared" si="10"/>
        <v>36983.343</v>
      </c>
      <c r="H44" s="4">
        <f t="shared" si="11"/>
        <v>5477</v>
      </c>
      <c r="I44" s="18" t="s">
        <v>230</v>
      </c>
      <c r="J44" s="19" t="s">
        <v>231</v>
      </c>
      <c r="K44" s="18">
        <v>5477</v>
      </c>
      <c r="L44" s="18" t="s">
        <v>97</v>
      </c>
      <c r="M44" s="19" t="s">
        <v>214</v>
      </c>
      <c r="N44" s="19"/>
      <c r="O44" s="20" t="s">
        <v>215</v>
      </c>
      <c r="P44" s="20" t="s">
        <v>44</v>
      </c>
    </row>
    <row r="45" spans="1:16" ht="12.75" customHeight="1">
      <c r="A45" s="4" t="str">
        <f t="shared" si="6"/>
        <v>BAVM 56 </v>
      </c>
      <c r="B45" s="3" t="str">
        <f t="shared" si="7"/>
        <v>I</v>
      </c>
      <c r="C45" s="4">
        <f t="shared" si="8"/>
        <v>47928.281000000003</v>
      </c>
      <c r="D45" t="str">
        <f t="shared" si="9"/>
        <v>vis</v>
      </c>
      <c r="E45">
        <f>VLOOKUP(C45,'Active 1'!C$21:E$971,3,FALSE)</f>
        <v>28782.286140340235</v>
      </c>
      <c r="F45" s="3" t="s">
        <v>86</v>
      </c>
      <c r="G45" t="str">
        <f t="shared" si="10"/>
        <v>47928.281</v>
      </c>
      <c r="H45" s="4">
        <f t="shared" si="11"/>
        <v>21408</v>
      </c>
      <c r="I45" s="18" t="s">
        <v>232</v>
      </c>
      <c r="J45" s="19" t="s">
        <v>233</v>
      </c>
      <c r="K45" s="18">
        <v>21408</v>
      </c>
      <c r="L45" s="18" t="s">
        <v>234</v>
      </c>
      <c r="M45" s="19" t="s">
        <v>214</v>
      </c>
      <c r="N45" s="19"/>
      <c r="O45" s="20" t="s">
        <v>235</v>
      </c>
      <c r="P45" s="21" t="s">
        <v>51</v>
      </c>
    </row>
    <row r="46" spans="1:16" ht="12.75" customHeight="1">
      <c r="A46" s="4" t="str">
        <f t="shared" si="6"/>
        <v>BAVM 59 </v>
      </c>
      <c r="B46" s="3" t="str">
        <f t="shared" si="7"/>
        <v>I</v>
      </c>
      <c r="C46" s="4">
        <f t="shared" si="8"/>
        <v>48290.326000000001</v>
      </c>
      <c r="D46" t="str">
        <f t="shared" si="9"/>
        <v>vis</v>
      </c>
      <c r="E46">
        <f>VLOOKUP(C46,'Active 1'!C$21:E$971,3,FALSE)</f>
        <v>29490.78768926088</v>
      </c>
      <c r="F46" s="3" t="s">
        <v>86</v>
      </c>
      <c r="G46" t="str">
        <f t="shared" si="10"/>
        <v>48290.326</v>
      </c>
      <c r="H46" s="4">
        <f t="shared" si="11"/>
        <v>21935</v>
      </c>
      <c r="I46" s="18" t="s">
        <v>236</v>
      </c>
      <c r="J46" s="19" t="s">
        <v>237</v>
      </c>
      <c r="K46" s="18">
        <v>21935</v>
      </c>
      <c r="L46" s="18" t="s">
        <v>238</v>
      </c>
      <c r="M46" s="19" t="s">
        <v>214</v>
      </c>
      <c r="N46" s="19"/>
      <c r="O46" s="20" t="s">
        <v>235</v>
      </c>
      <c r="P46" s="21" t="s">
        <v>52</v>
      </c>
    </row>
    <row r="47" spans="1:16" ht="12.75" customHeight="1">
      <c r="A47" s="4" t="str">
        <f t="shared" si="6"/>
        <v>VSB 40 </v>
      </c>
      <c r="B47" s="3" t="str">
        <f t="shared" si="7"/>
        <v>I</v>
      </c>
      <c r="C47" s="4">
        <f t="shared" si="8"/>
        <v>52327.997100000001</v>
      </c>
      <c r="D47" t="str">
        <f t="shared" si="9"/>
        <v>vis</v>
      </c>
      <c r="E47">
        <f>VLOOKUP(C47,'Active 1'!C$21:E$971,3,FALSE)</f>
        <v>37392.281228412467</v>
      </c>
      <c r="F47" s="3" t="s">
        <v>86</v>
      </c>
      <c r="G47" t="str">
        <f t="shared" si="10"/>
        <v>52327.9971</v>
      </c>
      <c r="H47" s="4">
        <f t="shared" si="11"/>
        <v>27812</v>
      </c>
      <c r="I47" s="18" t="s">
        <v>239</v>
      </c>
      <c r="J47" s="19" t="s">
        <v>240</v>
      </c>
      <c r="K47" s="18">
        <v>27812</v>
      </c>
      <c r="L47" s="18" t="s">
        <v>241</v>
      </c>
      <c r="M47" s="19" t="s">
        <v>108</v>
      </c>
      <c r="N47" s="19" t="s">
        <v>162</v>
      </c>
      <c r="O47" s="20" t="s">
        <v>242</v>
      </c>
      <c r="P47" s="21" t="s">
        <v>59</v>
      </c>
    </row>
    <row r="48" spans="1:16" ht="12.75" customHeight="1">
      <c r="A48" s="4" t="str">
        <f t="shared" si="6"/>
        <v>VSB 40 </v>
      </c>
      <c r="B48" s="3" t="str">
        <f t="shared" si="7"/>
        <v>I</v>
      </c>
      <c r="C48" s="4">
        <f t="shared" si="8"/>
        <v>52354.056700000001</v>
      </c>
      <c r="D48" t="str">
        <f t="shared" si="9"/>
        <v>vis</v>
      </c>
      <c r="E48">
        <f>VLOOKUP(C48,'Active 1'!C$21:E$971,3,FALSE)</f>
        <v>37443.278388887687</v>
      </c>
      <c r="F48" s="3" t="s">
        <v>86</v>
      </c>
      <c r="G48" t="str">
        <f t="shared" si="10"/>
        <v>52354.0567</v>
      </c>
      <c r="H48" s="4">
        <f t="shared" si="11"/>
        <v>27850</v>
      </c>
      <c r="I48" s="18" t="s">
        <v>243</v>
      </c>
      <c r="J48" s="19" t="s">
        <v>244</v>
      </c>
      <c r="K48" s="18">
        <v>27850</v>
      </c>
      <c r="L48" s="18" t="s">
        <v>245</v>
      </c>
      <c r="M48" s="19" t="s">
        <v>108</v>
      </c>
      <c r="N48" s="19" t="s">
        <v>162</v>
      </c>
      <c r="O48" s="20" t="s">
        <v>246</v>
      </c>
      <c r="P48" s="21" t="s">
        <v>59</v>
      </c>
    </row>
    <row r="49" spans="1:16" ht="12.75" customHeight="1">
      <c r="A49" s="4" t="str">
        <f t="shared" si="6"/>
        <v>VSB 40 </v>
      </c>
      <c r="B49" s="3" t="str">
        <f t="shared" si="7"/>
        <v>I</v>
      </c>
      <c r="C49" s="4">
        <f t="shared" si="8"/>
        <v>52619.268600000003</v>
      </c>
      <c r="D49" t="str">
        <f t="shared" si="9"/>
        <v>vis</v>
      </c>
      <c r="E49">
        <f>VLOOKUP(C49,'Active 1'!C$21:E$971,3,FALSE)</f>
        <v>37962.283048369769</v>
      </c>
      <c r="F49" s="3" t="s">
        <v>86</v>
      </c>
      <c r="G49" t="str">
        <f t="shared" si="10"/>
        <v>52619.2686</v>
      </c>
      <c r="H49" s="4">
        <f t="shared" si="11"/>
        <v>28236</v>
      </c>
      <c r="I49" s="18" t="s">
        <v>247</v>
      </c>
      <c r="J49" s="19" t="s">
        <v>248</v>
      </c>
      <c r="K49" s="18">
        <v>28236</v>
      </c>
      <c r="L49" s="18" t="s">
        <v>249</v>
      </c>
      <c r="M49" s="19" t="s">
        <v>108</v>
      </c>
      <c r="N49" s="19" t="s">
        <v>162</v>
      </c>
      <c r="O49" s="20" t="s">
        <v>242</v>
      </c>
      <c r="P49" s="21" t="s">
        <v>59</v>
      </c>
    </row>
    <row r="50" spans="1:16" ht="12.75" customHeight="1">
      <c r="A50" s="4" t="str">
        <f t="shared" si="6"/>
        <v>IBVS 5741 </v>
      </c>
      <c r="B50" s="3" t="str">
        <f t="shared" si="7"/>
        <v>I</v>
      </c>
      <c r="C50" s="4">
        <f t="shared" si="8"/>
        <v>53410.297100000003</v>
      </c>
      <c r="D50" t="str">
        <f t="shared" si="9"/>
        <v>vis</v>
      </c>
      <c r="E50">
        <f>VLOOKUP(C50,'Active 1'!C$21:E$971,3,FALSE)</f>
        <v>39510.280997493159</v>
      </c>
      <c r="F50" s="3" t="s">
        <v>86</v>
      </c>
      <c r="G50" t="str">
        <f t="shared" si="10"/>
        <v>53410.2971</v>
      </c>
      <c r="H50" s="4">
        <f t="shared" si="11"/>
        <v>29388</v>
      </c>
      <c r="I50" s="18" t="s">
        <v>250</v>
      </c>
      <c r="J50" s="19" t="s">
        <v>251</v>
      </c>
      <c r="K50" s="18">
        <v>29388</v>
      </c>
      <c r="L50" s="18" t="s">
        <v>252</v>
      </c>
      <c r="M50" s="19" t="s">
        <v>108</v>
      </c>
      <c r="N50" s="19" t="s">
        <v>162</v>
      </c>
      <c r="O50" s="20" t="s">
        <v>253</v>
      </c>
      <c r="P50" s="21" t="s">
        <v>254</v>
      </c>
    </row>
    <row r="51" spans="1:16" ht="12.75" customHeight="1">
      <c r="A51" s="4" t="str">
        <f t="shared" si="6"/>
        <v>BAVM 178 </v>
      </c>
      <c r="B51" s="3" t="str">
        <f t="shared" si="7"/>
        <v>I</v>
      </c>
      <c r="C51" s="4">
        <f t="shared" si="8"/>
        <v>53690.2955</v>
      </c>
      <c r="D51" t="str">
        <f t="shared" si="9"/>
        <v>vis</v>
      </c>
      <c r="E51">
        <f>VLOOKUP(C51,'Active 1'!C$21:E$971,3,FALSE)</f>
        <v>40058.221999565554</v>
      </c>
      <c r="F51" s="3" t="s">
        <v>86</v>
      </c>
      <c r="G51" t="str">
        <f t="shared" si="10"/>
        <v>53690.2955</v>
      </c>
      <c r="H51" s="4">
        <f t="shared" si="11"/>
        <v>29795</v>
      </c>
      <c r="I51" s="18" t="s">
        <v>255</v>
      </c>
      <c r="J51" s="19" t="s">
        <v>256</v>
      </c>
      <c r="K51" s="18">
        <v>29795</v>
      </c>
      <c r="L51" s="18" t="s">
        <v>257</v>
      </c>
      <c r="M51" s="19" t="s">
        <v>108</v>
      </c>
      <c r="N51" s="19" t="s">
        <v>109</v>
      </c>
      <c r="O51" s="20" t="s">
        <v>110</v>
      </c>
      <c r="P51" s="21" t="s">
        <v>67</v>
      </c>
    </row>
    <row r="52" spans="1:16" ht="12.75" customHeight="1">
      <c r="A52" s="4" t="str">
        <f t="shared" si="6"/>
        <v>VSB 44 </v>
      </c>
      <c r="B52" s="3" t="str">
        <f t="shared" si="7"/>
        <v>II</v>
      </c>
      <c r="C52" s="4">
        <f t="shared" si="8"/>
        <v>53708.215700000001</v>
      </c>
      <c r="D52" t="str">
        <f t="shared" si="9"/>
        <v>vis</v>
      </c>
      <c r="E52">
        <f>VLOOKUP(C52,'Active 1'!C$21:E$971,3,FALSE)</f>
        <v>40093.290815477856</v>
      </c>
      <c r="F52" s="3" t="s">
        <v>86</v>
      </c>
      <c r="G52" t="str">
        <f t="shared" si="10"/>
        <v>53708.2157</v>
      </c>
      <c r="H52" s="4">
        <f t="shared" si="11"/>
        <v>29821.5</v>
      </c>
      <c r="I52" s="18" t="s">
        <v>258</v>
      </c>
      <c r="J52" s="19" t="s">
        <v>259</v>
      </c>
      <c r="K52" s="18">
        <v>29821.5</v>
      </c>
      <c r="L52" s="18" t="s">
        <v>260</v>
      </c>
      <c r="M52" s="19" t="s">
        <v>108</v>
      </c>
      <c r="N52" s="19" t="s">
        <v>162</v>
      </c>
      <c r="O52" s="20" t="s">
        <v>261</v>
      </c>
      <c r="P52" s="21" t="s">
        <v>68</v>
      </c>
    </row>
    <row r="53" spans="1:16" ht="12.75" customHeight="1">
      <c r="A53" s="4" t="str">
        <f t="shared" si="6"/>
        <v>OEJV 0094 </v>
      </c>
      <c r="B53" s="3" t="str">
        <f t="shared" si="7"/>
        <v>I</v>
      </c>
      <c r="C53" s="4">
        <f t="shared" si="8"/>
        <v>54512.273200000003</v>
      </c>
      <c r="D53" t="str">
        <f t="shared" si="9"/>
        <v>vis</v>
      </c>
      <c r="E53">
        <f>VLOOKUP(C53,'Active 1'!C$21:E$971,3,FALSE)</f>
        <v>41666.78577928419</v>
      </c>
      <c r="F53" s="3" t="s">
        <v>86</v>
      </c>
      <c r="G53" t="str">
        <f t="shared" si="10"/>
        <v>54512.2732</v>
      </c>
      <c r="H53" s="4">
        <f t="shared" si="11"/>
        <v>30992</v>
      </c>
      <c r="I53" s="18" t="s">
        <v>262</v>
      </c>
      <c r="J53" s="19" t="s">
        <v>263</v>
      </c>
      <c r="K53" s="18">
        <v>30992</v>
      </c>
      <c r="L53" s="18" t="s">
        <v>264</v>
      </c>
      <c r="M53" s="19" t="s">
        <v>150</v>
      </c>
      <c r="N53" s="19" t="s">
        <v>45</v>
      </c>
      <c r="O53" s="20" t="s">
        <v>265</v>
      </c>
      <c r="P53" s="21" t="s">
        <v>69</v>
      </c>
    </row>
    <row r="54" spans="1:16" ht="12.75" customHeight="1">
      <c r="A54" s="4" t="str">
        <f t="shared" si="6"/>
        <v>OEJV 0094 </v>
      </c>
      <c r="B54" s="3" t="str">
        <f t="shared" si="7"/>
        <v>I</v>
      </c>
      <c r="C54" s="4">
        <f t="shared" si="8"/>
        <v>54512.2739</v>
      </c>
      <c r="D54" t="str">
        <f t="shared" si="9"/>
        <v>vis</v>
      </c>
      <c r="E54">
        <f>VLOOKUP(C54,'Active 1'!C$21:E$971,3,FALSE)</f>
        <v>41666.787149144518</v>
      </c>
      <c r="F54" s="3" t="s">
        <v>86</v>
      </c>
      <c r="G54" t="str">
        <f t="shared" si="10"/>
        <v>54512.2739</v>
      </c>
      <c r="H54" s="4">
        <f t="shared" si="11"/>
        <v>30992</v>
      </c>
      <c r="I54" s="18" t="s">
        <v>266</v>
      </c>
      <c r="J54" s="19" t="s">
        <v>267</v>
      </c>
      <c r="K54" s="18">
        <v>30992</v>
      </c>
      <c r="L54" s="18" t="s">
        <v>268</v>
      </c>
      <c r="M54" s="19" t="s">
        <v>150</v>
      </c>
      <c r="N54" s="19" t="s">
        <v>171</v>
      </c>
      <c r="O54" s="20" t="s">
        <v>265</v>
      </c>
      <c r="P54" s="21" t="s">
        <v>69</v>
      </c>
    </row>
    <row r="55" spans="1:16" ht="12.75" customHeight="1">
      <c r="A55" s="4" t="str">
        <f t="shared" si="6"/>
        <v>OEJV 0094 </v>
      </c>
      <c r="B55" s="3" t="str">
        <f t="shared" si="7"/>
        <v>I</v>
      </c>
      <c r="C55" s="4">
        <f t="shared" si="8"/>
        <v>54512.274899999997</v>
      </c>
      <c r="D55" t="str">
        <f t="shared" si="9"/>
        <v>vis</v>
      </c>
      <c r="E55">
        <f>VLOOKUP(C55,'Active 1'!C$21:E$971,3,FALSE)</f>
        <v>41666.789106087846</v>
      </c>
      <c r="F55" s="3" t="s">
        <v>86</v>
      </c>
      <c r="G55" t="str">
        <f t="shared" si="10"/>
        <v>54512.2749</v>
      </c>
      <c r="H55" s="4">
        <f t="shared" si="11"/>
        <v>30992</v>
      </c>
      <c r="I55" s="18" t="s">
        <v>269</v>
      </c>
      <c r="J55" s="19" t="s">
        <v>270</v>
      </c>
      <c r="K55" s="18">
        <v>30992</v>
      </c>
      <c r="L55" s="18" t="s">
        <v>271</v>
      </c>
      <c r="M55" s="19" t="s">
        <v>150</v>
      </c>
      <c r="N55" s="19" t="s">
        <v>86</v>
      </c>
      <c r="O55" s="20" t="s">
        <v>265</v>
      </c>
      <c r="P55" s="21" t="s">
        <v>69</v>
      </c>
    </row>
    <row r="56" spans="1:16" ht="12.75" customHeight="1">
      <c r="A56" s="4" t="str">
        <f t="shared" si="6"/>
        <v>OEJV 0094 </v>
      </c>
      <c r="B56" s="3" t="str">
        <f t="shared" si="7"/>
        <v>I</v>
      </c>
      <c r="C56" s="4">
        <f t="shared" si="8"/>
        <v>54536.2912</v>
      </c>
      <c r="D56" t="str">
        <f t="shared" si="9"/>
        <v>vis</v>
      </c>
      <c r="E56">
        <f>VLOOKUP(C56,'Active 1'!C$21:E$971,3,FALSE)</f>
        <v>41713.787644251177</v>
      </c>
      <c r="F56" s="3" t="s">
        <v>86</v>
      </c>
      <c r="G56" t="str">
        <f t="shared" si="10"/>
        <v>54536.2912</v>
      </c>
      <c r="H56" s="4">
        <f t="shared" si="11"/>
        <v>31027</v>
      </c>
      <c r="I56" s="18" t="s">
        <v>272</v>
      </c>
      <c r="J56" s="19" t="s">
        <v>273</v>
      </c>
      <c r="K56" s="18">
        <v>31027</v>
      </c>
      <c r="L56" s="18" t="s">
        <v>274</v>
      </c>
      <c r="M56" s="19" t="s">
        <v>150</v>
      </c>
      <c r="N56" s="19" t="s">
        <v>171</v>
      </c>
      <c r="O56" s="20" t="s">
        <v>275</v>
      </c>
      <c r="P56" s="21" t="s">
        <v>69</v>
      </c>
    </row>
    <row r="57" spans="1:16" ht="12.75" customHeight="1">
      <c r="A57" s="4" t="str">
        <f t="shared" si="6"/>
        <v>VSB 48 </v>
      </c>
      <c r="B57" s="3" t="str">
        <f t="shared" si="7"/>
        <v>II</v>
      </c>
      <c r="C57" s="4">
        <f t="shared" si="8"/>
        <v>54808.144999999997</v>
      </c>
      <c r="D57" t="str">
        <f t="shared" si="9"/>
        <v>vis</v>
      </c>
      <c r="E57">
        <f>VLOOKUP(C57,'Active 1'!C$21:E$971,3,FALSE)</f>
        <v>42245.790125655323</v>
      </c>
      <c r="F57" s="3" t="s">
        <v>86</v>
      </c>
      <c r="G57" t="str">
        <f t="shared" si="10"/>
        <v>54808.145</v>
      </c>
      <c r="H57" s="4">
        <f t="shared" si="11"/>
        <v>31422.5</v>
      </c>
      <c r="I57" s="18" t="s">
        <v>276</v>
      </c>
      <c r="J57" s="19" t="s">
        <v>277</v>
      </c>
      <c r="K57" s="18">
        <v>31422.5</v>
      </c>
      <c r="L57" s="18" t="s">
        <v>278</v>
      </c>
      <c r="M57" s="19" t="s">
        <v>150</v>
      </c>
      <c r="N57" s="19" t="s">
        <v>86</v>
      </c>
      <c r="O57" s="20" t="s">
        <v>279</v>
      </c>
      <c r="P57" s="21" t="s">
        <v>71</v>
      </c>
    </row>
    <row r="58" spans="1:16" ht="12.75" customHeight="1">
      <c r="A58" s="4" t="str">
        <f t="shared" si="6"/>
        <v>VSB 53 </v>
      </c>
      <c r="B58" s="3" t="str">
        <f t="shared" si="7"/>
        <v>I</v>
      </c>
      <c r="C58" s="4">
        <f t="shared" si="8"/>
        <v>55574.136899999998</v>
      </c>
      <c r="D58" t="str">
        <f t="shared" si="9"/>
        <v>vis</v>
      </c>
      <c r="E58">
        <f>VLOOKUP(C58,'Active 1'!C$21:E$971,3,FALSE)</f>
        <v>43744.79286733293</v>
      </c>
      <c r="F58" s="3" t="s">
        <v>86</v>
      </c>
      <c r="G58" t="str">
        <f t="shared" si="10"/>
        <v>55574.1369</v>
      </c>
      <c r="H58" s="4">
        <f t="shared" si="11"/>
        <v>32538</v>
      </c>
      <c r="I58" s="18" t="s">
        <v>280</v>
      </c>
      <c r="J58" s="19" t="s">
        <v>281</v>
      </c>
      <c r="K58" s="18" t="s">
        <v>282</v>
      </c>
      <c r="L58" s="18" t="s">
        <v>283</v>
      </c>
      <c r="M58" s="19" t="s">
        <v>150</v>
      </c>
      <c r="N58" s="19" t="s">
        <v>86</v>
      </c>
      <c r="O58" s="20" t="s">
        <v>279</v>
      </c>
      <c r="P58" s="21" t="s">
        <v>74</v>
      </c>
    </row>
    <row r="59" spans="1:16" ht="12.75" customHeight="1">
      <c r="A59" s="4" t="str">
        <f t="shared" si="6"/>
        <v>BAVM 225 </v>
      </c>
      <c r="B59" s="3" t="str">
        <f t="shared" si="7"/>
        <v>II</v>
      </c>
      <c r="C59" s="4">
        <f t="shared" si="8"/>
        <v>55593.3001</v>
      </c>
      <c r="D59" t="str">
        <f t="shared" si="9"/>
        <v>vis</v>
      </c>
      <c r="E59">
        <f>VLOOKUP(C59,'Active 1'!C$21:E$971,3,FALSE)</f>
        <v>43782.294163807892</v>
      </c>
      <c r="F59" s="3" t="s">
        <v>86</v>
      </c>
      <c r="G59" t="str">
        <f t="shared" si="10"/>
        <v>55593.3001</v>
      </c>
      <c r="H59" s="4">
        <f t="shared" si="11"/>
        <v>32565.5</v>
      </c>
      <c r="I59" s="18" t="s">
        <v>284</v>
      </c>
      <c r="J59" s="19" t="s">
        <v>285</v>
      </c>
      <c r="K59" s="18" t="s">
        <v>286</v>
      </c>
      <c r="L59" s="18" t="s">
        <v>287</v>
      </c>
      <c r="M59" s="19" t="s">
        <v>150</v>
      </c>
      <c r="N59" s="19" t="s">
        <v>109</v>
      </c>
      <c r="O59" s="20" t="s">
        <v>157</v>
      </c>
      <c r="P59" s="21" t="s">
        <v>75</v>
      </c>
    </row>
    <row r="60" spans="1:16" ht="12.75" customHeight="1">
      <c r="A60" s="4" t="str">
        <f t="shared" si="6"/>
        <v>VSB 55 </v>
      </c>
      <c r="B60" s="3" t="str">
        <f t="shared" si="7"/>
        <v>I</v>
      </c>
      <c r="C60" s="4">
        <f t="shared" si="8"/>
        <v>55977.061199999996</v>
      </c>
      <c r="D60" t="str">
        <f t="shared" si="9"/>
        <v>vis</v>
      </c>
      <c r="E60">
        <f>VLOOKUP(C60,'Active 1'!C$21:E$971,3,FALSE)</f>
        <v>44533.29288983778</v>
      </c>
      <c r="F60" s="3" t="s">
        <v>86</v>
      </c>
      <c r="G60" t="str">
        <f t="shared" si="10"/>
        <v>55977.0612</v>
      </c>
      <c r="H60" s="4">
        <f t="shared" si="11"/>
        <v>33124</v>
      </c>
      <c r="I60" s="18" t="s">
        <v>288</v>
      </c>
      <c r="J60" s="19" t="s">
        <v>289</v>
      </c>
      <c r="K60" s="18" t="s">
        <v>290</v>
      </c>
      <c r="L60" s="18" t="s">
        <v>291</v>
      </c>
      <c r="M60" s="19" t="s">
        <v>150</v>
      </c>
      <c r="N60" s="19" t="s">
        <v>84</v>
      </c>
      <c r="O60" s="20" t="s">
        <v>292</v>
      </c>
      <c r="P60" s="21" t="s">
        <v>78</v>
      </c>
    </row>
    <row r="61" spans="1:16" ht="12.75" customHeight="1">
      <c r="A61" s="4" t="str">
        <f t="shared" si="6"/>
        <v>VSB 55 </v>
      </c>
      <c r="B61" s="3" t="str">
        <f t="shared" si="7"/>
        <v>I</v>
      </c>
      <c r="C61" s="4">
        <f t="shared" si="8"/>
        <v>56281.107300000003</v>
      </c>
      <c r="D61" t="str">
        <f t="shared" si="9"/>
        <v>vis</v>
      </c>
      <c r="E61">
        <f>VLOOKUP(C61,'Active 1'!C$21:E$971,3,FALSE)</f>
        <v>45128.293878094177</v>
      </c>
      <c r="F61" s="3" t="s">
        <v>86</v>
      </c>
      <c r="G61" t="str">
        <f t="shared" si="10"/>
        <v>56281.1073</v>
      </c>
      <c r="H61" s="4">
        <f t="shared" si="11"/>
        <v>33567</v>
      </c>
      <c r="I61" s="18" t="s">
        <v>293</v>
      </c>
      <c r="J61" s="19" t="s">
        <v>294</v>
      </c>
      <c r="K61" s="18" t="s">
        <v>295</v>
      </c>
      <c r="L61" s="18" t="s">
        <v>296</v>
      </c>
      <c r="M61" s="19" t="s">
        <v>150</v>
      </c>
      <c r="N61" s="19" t="s">
        <v>84</v>
      </c>
      <c r="O61" s="20" t="s">
        <v>292</v>
      </c>
      <c r="P61" s="21" t="s">
        <v>78</v>
      </c>
    </row>
    <row r="62" spans="1:16" ht="12.75" customHeight="1">
      <c r="A62" s="4" t="str">
        <f t="shared" si="6"/>
        <v>BAVM 241 (=IBVS 6157) </v>
      </c>
      <c r="B62" s="3" t="str">
        <f t="shared" si="7"/>
        <v>I</v>
      </c>
      <c r="C62" s="4">
        <f t="shared" si="8"/>
        <v>57061.668299999998</v>
      </c>
      <c r="D62" t="str">
        <f t="shared" si="9"/>
        <v>vis</v>
      </c>
      <c r="E62">
        <f>VLOOKUP(C62,'Active 1'!C$21:E$971,3,FALSE)</f>
        <v>46655.807522881551</v>
      </c>
      <c r="F62" s="3" t="s">
        <v>86</v>
      </c>
      <c r="G62" t="str">
        <f t="shared" si="10"/>
        <v>57061.6683</v>
      </c>
      <c r="H62" s="4">
        <f t="shared" si="11"/>
        <v>34703</v>
      </c>
      <c r="I62" s="18" t="s">
        <v>297</v>
      </c>
      <c r="J62" s="19" t="s">
        <v>298</v>
      </c>
      <c r="K62" s="18" t="s">
        <v>299</v>
      </c>
      <c r="L62" s="18" t="s">
        <v>300</v>
      </c>
      <c r="M62" s="19" t="s">
        <v>150</v>
      </c>
      <c r="N62" s="19" t="s">
        <v>86</v>
      </c>
      <c r="O62" s="20" t="s">
        <v>157</v>
      </c>
      <c r="P62" s="21" t="s">
        <v>301</v>
      </c>
    </row>
    <row r="63" spans="1:16" ht="12.75" customHeight="1">
      <c r="A63" s="4" t="str">
        <f t="shared" si="6"/>
        <v>BAVM 241 (=IBVS 6157) </v>
      </c>
      <c r="B63" s="3" t="str">
        <f t="shared" si="7"/>
        <v>II</v>
      </c>
      <c r="C63" s="4">
        <f t="shared" si="8"/>
        <v>57062.6921</v>
      </c>
      <c r="D63" t="str">
        <f t="shared" si="9"/>
        <v>vis</v>
      </c>
      <c r="E63">
        <f>VLOOKUP(C63,'Active 1'!C$21:E$971,3,FALSE)</f>
        <v>46657.811041465669</v>
      </c>
      <c r="F63" s="3" t="s">
        <v>86</v>
      </c>
      <c r="G63" t="str">
        <f t="shared" si="10"/>
        <v>57062.6921</v>
      </c>
      <c r="H63" s="4">
        <f t="shared" si="11"/>
        <v>34704.5</v>
      </c>
      <c r="I63" s="18" t="s">
        <v>302</v>
      </c>
      <c r="J63" s="19" t="s">
        <v>303</v>
      </c>
      <c r="K63" s="18" t="s">
        <v>304</v>
      </c>
      <c r="L63" s="18" t="s">
        <v>305</v>
      </c>
      <c r="M63" s="19" t="s">
        <v>150</v>
      </c>
      <c r="N63" s="19" t="s">
        <v>86</v>
      </c>
      <c r="O63" s="20" t="s">
        <v>157</v>
      </c>
      <c r="P63" s="21" t="s">
        <v>301</v>
      </c>
    </row>
  </sheetData>
  <sheetProtection selectLockedCells="1" selectUnlockedCells="1"/>
  <phoneticPr fontId="0" type="noConversion"/>
  <hyperlinks>
    <hyperlink ref="P13" r:id="rId1" xr:uid="{00000000-0004-0000-0200-000000000000}"/>
    <hyperlink ref="P14" r:id="rId2" xr:uid="{00000000-0004-0000-0200-000001000000}"/>
    <hyperlink ref="P15" r:id="rId3" xr:uid="{00000000-0004-0000-0200-000002000000}"/>
    <hyperlink ref="P16" r:id="rId4" xr:uid="{00000000-0004-0000-0200-000003000000}"/>
    <hyperlink ref="P17" r:id="rId5" xr:uid="{00000000-0004-0000-0200-000004000000}"/>
    <hyperlink ref="P18" r:id="rId6" xr:uid="{00000000-0004-0000-0200-000005000000}"/>
    <hyperlink ref="P19" r:id="rId7" xr:uid="{00000000-0004-0000-0200-000006000000}"/>
    <hyperlink ref="P20" r:id="rId8" xr:uid="{00000000-0004-0000-0200-000007000000}"/>
    <hyperlink ref="P21" r:id="rId9" xr:uid="{00000000-0004-0000-0200-000008000000}"/>
    <hyperlink ref="P22" r:id="rId10" xr:uid="{00000000-0004-0000-0200-000009000000}"/>
    <hyperlink ref="P23" r:id="rId11" xr:uid="{00000000-0004-0000-0200-00000A000000}"/>
    <hyperlink ref="P24" r:id="rId12" xr:uid="{00000000-0004-0000-0200-00000B000000}"/>
    <hyperlink ref="P25" r:id="rId13" xr:uid="{00000000-0004-0000-0200-00000C000000}"/>
    <hyperlink ref="P26" r:id="rId14" xr:uid="{00000000-0004-0000-0200-00000D000000}"/>
    <hyperlink ref="P27" r:id="rId15" xr:uid="{00000000-0004-0000-0200-00000E000000}"/>
    <hyperlink ref="P28" r:id="rId16" xr:uid="{00000000-0004-0000-0200-00000F000000}"/>
    <hyperlink ref="P29" r:id="rId17" xr:uid="{00000000-0004-0000-0200-000010000000}"/>
    <hyperlink ref="P30" r:id="rId18" xr:uid="{00000000-0004-0000-0200-000011000000}"/>
    <hyperlink ref="P32" r:id="rId19" xr:uid="{00000000-0004-0000-0200-000012000000}"/>
    <hyperlink ref="P33" r:id="rId20" xr:uid="{00000000-0004-0000-0200-000013000000}"/>
    <hyperlink ref="P34" r:id="rId21" xr:uid="{00000000-0004-0000-0200-000014000000}"/>
    <hyperlink ref="P35" r:id="rId22" xr:uid="{00000000-0004-0000-0200-000015000000}"/>
    <hyperlink ref="P36" r:id="rId23" xr:uid="{00000000-0004-0000-0200-000016000000}"/>
    <hyperlink ref="P37" r:id="rId24" xr:uid="{00000000-0004-0000-0200-000017000000}"/>
    <hyperlink ref="P45" r:id="rId25" xr:uid="{00000000-0004-0000-0200-000018000000}"/>
    <hyperlink ref="P46" r:id="rId26" xr:uid="{00000000-0004-0000-0200-000019000000}"/>
    <hyperlink ref="P47" r:id="rId27" xr:uid="{00000000-0004-0000-0200-00001A000000}"/>
    <hyperlink ref="P48" r:id="rId28" xr:uid="{00000000-0004-0000-0200-00001B000000}"/>
    <hyperlink ref="P49" r:id="rId29" xr:uid="{00000000-0004-0000-0200-00001C000000}"/>
    <hyperlink ref="P50" r:id="rId30" xr:uid="{00000000-0004-0000-0200-00001D000000}"/>
    <hyperlink ref="P51" r:id="rId31" xr:uid="{00000000-0004-0000-0200-00001E000000}"/>
    <hyperlink ref="P52" r:id="rId32" xr:uid="{00000000-0004-0000-0200-00001F000000}"/>
    <hyperlink ref="P53" r:id="rId33" xr:uid="{00000000-0004-0000-0200-000020000000}"/>
    <hyperlink ref="P54" r:id="rId34" xr:uid="{00000000-0004-0000-0200-000021000000}"/>
    <hyperlink ref="P55" r:id="rId35" xr:uid="{00000000-0004-0000-0200-000022000000}"/>
    <hyperlink ref="P56" r:id="rId36" xr:uid="{00000000-0004-0000-0200-000023000000}"/>
    <hyperlink ref="P57" r:id="rId37" xr:uid="{00000000-0004-0000-0200-000024000000}"/>
    <hyperlink ref="P58" r:id="rId38" xr:uid="{00000000-0004-0000-0200-000025000000}"/>
    <hyperlink ref="P59" r:id="rId39" xr:uid="{00000000-0004-0000-0200-000026000000}"/>
    <hyperlink ref="P60" r:id="rId40" xr:uid="{00000000-0004-0000-0200-000027000000}"/>
    <hyperlink ref="P61" r:id="rId41" xr:uid="{00000000-0004-0000-0200-000028000000}"/>
    <hyperlink ref="P62" r:id="rId42" xr:uid="{00000000-0004-0000-0200-000029000000}"/>
    <hyperlink ref="P63" r:id="rId43" xr:uid="{00000000-0004-0000-0200-00002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2023-08-22T05:53:15Z</dcterms:created>
  <dcterms:modified xsi:type="dcterms:W3CDTF">2024-01-03T05:46:44Z</dcterms:modified>
</cp:coreProperties>
</file>