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15F16D-987D-44DF-91BA-EEF271EEA4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5" r:id="rId1"/>
    <sheet name="BAV" sheetId="6" r:id="rId2"/>
    <sheet name="A (old)" sheetId="1" r:id="rId3"/>
    <sheet name="B" sheetId="2" r:id="rId4"/>
    <sheet name="B (2)" sheetId="4" r:id="rId5"/>
    <sheet name="C" sheetId="3" r:id="rId6"/>
  </sheets>
  <calcPr calcId="181029"/>
</workbook>
</file>

<file path=xl/calcChain.xml><?xml version="1.0" encoding="utf-8"?>
<calcChain xmlns="http://schemas.openxmlformats.org/spreadsheetml/2006/main">
  <c r="E47" i="5" l="1"/>
  <c r="F47" i="5"/>
  <c r="E36" i="5"/>
  <c r="F36" i="5"/>
  <c r="E37" i="5"/>
  <c r="F37" i="5"/>
  <c r="D9" i="5"/>
  <c r="C9" i="5"/>
  <c r="Q21" i="5"/>
  <c r="Q22" i="5"/>
  <c r="Q23" i="5"/>
  <c r="Q25" i="5"/>
  <c r="Q26" i="5"/>
  <c r="Q27" i="5"/>
  <c r="Q42" i="5"/>
  <c r="Q47" i="5"/>
  <c r="G29" i="6"/>
  <c r="C29" i="6"/>
  <c r="G28" i="6"/>
  <c r="C28" i="6"/>
  <c r="G37" i="6"/>
  <c r="C37" i="6"/>
  <c r="E37" i="6"/>
  <c r="G27" i="6"/>
  <c r="C27" i="6"/>
  <c r="G26" i="6"/>
  <c r="C26" i="6"/>
  <c r="G25" i="6"/>
  <c r="C25" i="6"/>
  <c r="G24" i="6"/>
  <c r="C24" i="6"/>
  <c r="G36" i="6"/>
  <c r="C36" i="6"/>
  <c r="G23" i="6"/>
  <c r="C23" i="6"/>
  <c r="G22" i="6"/>
  <c r="C22" i="6"/>
  <c r="G21" i="6"/>
  <c r="C21" i="6"/>
  <c r="G20" i="6"/>
  <c r="C20" i="6"/>
  <c r="G19" i="6"/>
  <c r="C19" i="6"/>
  <c r="E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35" i="6"/>
  <c r="C35" i="6"/>
  <c r="G34" i="6"/>
  <c r="C34" i="6"/>
  <c r="G33" i="6"/>
  <c r="C33" i="6"/>
  <c r="G32" i="6"/>
  <c r="C32" i="6"/>
  <c r="E32" i="6"/>
  <c r="G31" i="6"/>
  <c r="C31" i="6"/>
  <c r="G30" i="6"/>
  <c r="C30" i="6"/>
  <c r="H29" i="6"/>
  <c r="D29" i="6"/>
  <c r="B29" i="6"/>
  <c r="A29" i="6"/>
  <c r="H28" i="6"/>
  <c r="B28" i="6"/>
  <c r="D28" i="6"/>
  <c r="A28" i="6"/>
  <c r="H37" i="6"/>
  <c r="D37" i="6"/>
  <c r="B37" i="6"/>
  <c r="A37" i="6"/>
  <c r="H27" i="6"/>
  <c r="B27" i="6"/>
  <c r="D27" i="6"/>
  <c r="A27" i="6"/>
  <c r="H26" i="6"/>
  <c r="D26" i="6"/>
  <c r="B26" i="6"/>
  <c r="A26" i="6"/>
  <c r="H25" i="6"/>
  <c r="B25" i="6"/>
  <c r="D25" i="6"/>
  <c r="A25" i="6"/>
  <c r="H24" i="6"/>
  <c r="D24" i="6"/>
  <c r="B24" i="6"/>
  <c r="A24" i="6"/>
  <c r="H36" i="6"/>
  <c r="B36" i="6"/>
  <c r="D36" i="6"/>
  <c r="A36" i="6"/>
  <c r="H23" i="6"/>
  <c r="D23" i="6"/>
  <c r="B23" i="6"/>
  <c r="A23" i="6"/>
  <c r="H22" i="6"/>
  <c r="B22" i="6"/>
  <c r="D22" i="6"/>
  <c r="A22" i="6"/>
  <c r="H21" i="6"/>
  <c r="D21" i="6"/>
  <c r="B21" i="6"/>
  <c r="A21" i="6"/>
  <c r="H20" i="6"/>
  <c r="B20" i="6"/>
  <c r="D20" i="6"/>
  <c r="A20" i="6"/>
  <c r="H19" i="6"/>
  <c r="D19" i="6"/>
  <c r="B19" i="6"/>
  <c r="A19" i="6"/>
  <c r="H18" i="6"/>
  <c r="B18" i="6"/>
  <c r="D18" i="6"/>
  <c r="A18" i="6"/>
  <c r="H17" i="6"/>
  <c r="D17" i="6"/>
  <c r="B17" i="6"/>
  <c r="A17" i="6"/>
  <c r="H16" i="6"/>
  <c r="B16" i="6"/>
  <c r="D16" i="6"/>
  <c r="A16" i="6"/>
  <c r="H15" i="6"/>
  <c r="D15" i="6"/>
  <c r="B15" i="6"/>
  <c r="A15" i="6"/>
  <c r="H14" i="6"/>
  <c r="B14" i="6"/>
  <c r="D14" i="6"/>
  <c r="A14" i="6"/>
  <c r="H13" i="6"/>
  <c r="D13" i="6"/>
  <c r="B13" i="6"/>
  <c r="A13" i="6"/>
  <c r="H12" i="6"/>
  <c r="B12" i="6"/>
  <c r="D12" i="6"/>
  <c r="A12" i="6"/>
  <c r="H11" i="6"/>
  <c r="D11" i="6"/>
  <c r="B11" i="6"/>
  <c r="A11" i="6"/>
  <c r="H35" i="6"/>
  <c r="B35" i="6"/>
  <c r="D35" i="6"/>
  <c r="A35" i="6"/>
  <c r="H34" i="6"/>
  <c r="D34" i="6"/>
  <c r="B34" i="6"/>
  <c r="A34" i="6"/>
  <c r="H33" i="6"/>
  <c r="B33" i="6"/>
  <c r="D33" i="6"/>
  <c r="A33" i="6"/>
  <c r="H32" i="6"/>
  <c r="D32" i="6"/>
  <c r="B32" i="6"/>
  <c r="A32" i="6"/>
  <c r="H31" i="6"/>
  <c r="B31" i="6"/>
  <c r="D31" i="6"/>
  <c r="A31" i="6"/>
  <c r="H30" i="6"/>
  <c r="D30" i="6"/>
  <c r="B30" i="6"/>
  <c r="A30" i="6"/>
  <c r="Q49" i="5"/>
  <c r="Q48" i="5"/>
  <c r="Q44" i="5"/>
  <c r="Q45" i="5"/>
  <c r="Q46" i="5"/>
  <c r="E24" i="5"/>
  <c r="F24" i="5"/>
  <c r="F16" i="5"/>
  <c r="F17" i="5" s="1"/>
  <c r="C17" i="5"/>
  <c r="Q43" i="5"/>
  <c r="Q40" i="5"/>
  <c r="Q41" i="5"/>
  <c r="C7" i="5"/>
  <c r="E23" i="5"/>
  <c r="F23" i="5"/>
  <c r="Q24" i="5"/>
  <c r="Q28" i="5"/>
  <c r="Q29" i="5"/>
  <c r="Q30" i="5"/>
  <c r="Q31" i="5"/>
  <c r="Q32" i="5"/>
  <c r="Q33" i="5"/>
  <c r="Q34" i="5"/>
  <c r="Q35" i="5"/>
  <c r="Q36" i="5"/>
  <c r="Q37" i="5"/>
  <c r="Q38" i="5"/>
  <c r="Q39" i="5"/>
  <c r="E22" i="4"/>
  <c r="F22" i="4"/>
  <c r="G22" i="4"/>
  <c r="E23" i="4"/>
  <c r="F23" i="4"/>
  <c r="G23" i="4"/>
  <c r="I23" i="4"/>
  <c r="E27" i="4"/>
  <c r="F27" i="4"/>
  <c r="E28" i="4"/>
  <c r="F28" i="4"/>
  <c r="E29" i="4"/>
  <c r="F29" i="4"/>
  <c r="G29" i="4"/>
  <c r="N29" i="4"/>
  <c r="E30" i="4"/>
  <c r="F30" i="4"/>
  <c r="G30" i="4"/>
  <c r="I30" i="4"/>
  <c r="E31" i="4"/>
  <c r="F31" i="4"/>
  <c r="G31" i="4"/>
  <c r="K31" i="4"/>
  <c r="E21" i="4"/>
  <c r="F21" i="4"/>
  <c r="E32" i="4"/>
  <c r="F32" i="4"/>
  <c r="Q33" i="4"/>
  <c r="C7" i="3"/>
  <c r="G22" i="3"/>
  <c r="I22" i="3"/>
  <c r="C18" i="3"/>
  <c r="C19" i="3"/>
  <c r="Q21" i="3"/>
  <c r="E22" i="3"/>
  <c r="F22" i="3"/>
  <c r="Q22" i="3"/>
  <c r="E23" i="3"/>
  <c r="F23" i="3"/>
  <c r="G23" i="3"/>
  <c r="I23" i="3"/>
  <c r="Q23" i="3"/>
  <c r="Q24" i="3"/>
  <c r="Q25" i="3"/>
  <c r="E26" i="3"/>
  <c r="F26" i="3"/>
  <c r="Q26" i="3"/>
  <c r="E27" i="3"/>
  <c r="F27" i="3"/>
  <c r="G27" i="3"/>
  <c r="J27" i="3"/>
  <c r="Q27" i="3"/>
  <c r="Q28" i="3"/>
  <c r="Q29" i="3"/>
  <c r="E30" i="3"/>
  <c r="F30" i="3"/>
  <c r="Q30" i="3"/>
  <c r="E31" i="3"/>
  <c r="F31" i="3"/>
  <c r="Q31" i="3"/>
  <c r="C7" i="4"/>
  <c r="E25" i="4"/>
  <c r="F25" i="4"/>
  <c r="G25" i="4"/>
  <c r="I25" i="4"/>
  <c r="C19" i="4"/>
  <c r="Q21" i="4"/>
  <c r="Q22" i="4"/>
  <c r="Q23" i="4"/>
  <c r="Q24" i="4"/>
  <c r="Q25" i="4"/>
  <c r="Q26" i="4"/>
  <c r="Q27" i="4"/>
  <c r="Q28" i="4"/>
  <c r="Q29" i="4"/>
  <c r="Q30" i="4"/>
  <c r="Q31" i="4"/>
  <c r="Q32" i="4"/>
  <c r="C7" i="2"/>
  <c r="C18" i="2"/>
  <c r="C19" i="2"/>
  <c r="Q21" i="2"/>
  <c r="E22" i="2"/>
  <c r="F22" i="2"/>
  <c r="G22" i="2"/>
  <c r="I22" i="2"/>
  <c r="Q22" i="2"/>
  <c r="Q23" i="2"/>
  <c r="Q24" i="2"/>
  <c r="Q25" i="2"/>
  <c r="Q26" i="2"/>
  <c r="Q27" i="2"/>
  <c r="E28" i="2"/>
  <c r="F28" i="2"/>
  <c r="Q28" i="2"/>
  <c r="Q29" i="2"/>
  <c r="E30" i="2"/>
  <c r="F30" i="2"/>
  <c r="G30" i="2"/>
  <c r="I30" i="2"/>
  <c r="Q30" i="2"/>
  <c r="Q31" i="2"/>
  <c r="C7" i="1"/>
  <c r="C8" i="1"/>
  <c r="S15" i="1"/>
  <c r="S16" i="1"/>
  <c r="S17" i="1"/>
  <c r="C18" i="1"/>
  <c r="C19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Q26" i="1"/>
  <c r="E27" i="1"/>
  <c r="F27" i="1"/>
  <c r="G27" i="1"/>
  <c r="J27" i="1"/>
  <c r="Q27" i="1"/>
  <c r="Q28" i="1"/>
  <c r="E29" i="1"/>
  <c r="F29" i="1"/>
  <c r="G29" i="1"/>
  <c r="N29" i="1"/>
  <c r="Q29" i="1"/>
  <c r="E30" i="1"/>
  <c r="F30" i="1"/>
  <c r="G30" i="1"/>
  <c r="I30" i="1"/>
  <c r="Q30" i="1"/>
  <c r="E31" i="1"/>
  <c r="F31" i="1"/>
  <c r="Q31" i="1"/>
  <c r="I22" i="4"/>
  <c r="E29" i="6"/>
  <c r="E34" i="6"/>
  <c r="E18" i="6"/>
  <c r="E15" i="6"/>
  <c r="E26" i="6"/>
  <c r="E22" i="6"/>
  <c r="E46" i="5"/>
  <c r="F46" i="5"/>
  <c r="E43" i="5"/>
  <c r="F43" i="5"/>
  <c r="G43" i="5"/>
  <c r="K43" i="5"/>
  <c r="E33" i="5"/>
  <c r="F33" i="5"/>
  <c r="E26" i="5"/>
  <c r="F26" i="5"/>
  <c r="E31" i="2"/>
  <c r="F31" i="2"/>
  <c r="G25" i="2"/>
  <c r="I25" i="2"/>
  <c r="E23" i="2"/>
  <c r="F23" i="2"/>
  <c r="G23" i="2"/>
  <c r="I23" i="2"/>
  <c r="E26" i="1"/>
  <c r="F26" i="1"/>
  <c r="G26" i="1"/>
  <c r="I26" i="1"/>
  <c r="E24" i="2"/>
  <c r="F24" i="2"/>
  <c r="G24" i="2"/>
  <c r="I24" i="2"/>
  <c r="G29" i="3"/>
  <c r="N29" i="3"/>
  <c r="E28" i="3"/>
  <c r="F28" i="3"/>
  <c r="G28" i="3"/>
  <c r="J28" i="3"/>
  <c r="E24" i="3"/>
  <c r="F24" i="3"/>
  <c r="G24" i="3"/>
  <c r="I24" i="3"/>
  <c r="E21" i="3"/>
  <c r="F21" i="3"/>
  <c r="E24" i="4"/>
  <c r="F24" i="4"/>
  <c r="G24" i="4"/>
  <c r="I24" i="4"/>
  <c r="G28" i="5"/>
  <c r="I28" i="5"/>
  <c r="E39" i="5"/>
  <c r="F39" i="5"/>
  <c r="G39" i="5"/>
  <c r="I39" i="5"/>
  <c r="E30" i="5"/>
  <c r="F30" i="5"/>
  <c r="G30" i="5"/>
  <c r="I30" i="5"/>
  <c r="G25" i="5"/>
  <c r="L25" i="5"/>
  <c r="E22" i="5"/>
  <c r="F22" i="5"/>
  <c r="G22" i="5"/>
  <c r="L22" i="5"/>
  <c r="E25" i="2"/>
  <c r="F25" i="2"/>
  <c r="E49" i="5"/>
  <c r="F49" i="5"/>
  <c r="G49" i="5"/>
  <c r="I49" i="5"/>
  <c r="G38" i="5"/>
  <c r="I38" i="5"/>
  <c r="E35" i="5"/>
  <c r="F35" i="5"/>
  <c r="G35" i="5"/>
  <c r="E42" i="5"/>
  <c r="F42" i="5"/>
  <c r="G42" i="5"/>
  <c r="L42" i="5"/>
  <c r="E28" i="1"/>
  <c r="F28" i="1"/>
  <c r="G28" i="1"/>
  <c r="J28" i="1"/>
  <c r="E21" i="1"/>
  <c r="F21" i="1"/>
  <c r="G21" i="1"/>
  <c r="G28" i="2"/>
  <c r="J28" i="2"/>
  <c r="E26" i="2"/>
  <c r="F26" i="2"/>
  <c r="G26" i="2"/>
  <c r="I26" i="2"/>
  <c r="E21" i="2"/>
  <c r="F21" i="2"/>
  <c r="G30" i="3"/>
  <c r="I30" i="3"/>
  <c r="E29" i="3"/>
  <c r="F29" i="3"/>
  <c r="G26" i="3"/>
  <c r="I26" i="3"/>
  <c r="E25" i="3"/>
  <c r="F25" i="3"/>
  <c r="G25" i="3"/>
  <c r="I25" i="3"/>
  <c r="G28" i="4"/>
  <c r="J28" i="4"/>
  <c r="E26" i="4"/>
  <c r="F26" i="4"/>
  <c r="G26" i="4"/>
  <c r="E33" i="4"/>
  <c r="F33" i="4"/>
  <c r="G33" i="4"/>
  <c r="J33" i="4"/>
  <c r="E45" i="5"/>
  <c r="F45" i="5"/>
  <c r="G45" i="5"/>
  <c r="I45" i="5"/>
  <c r="E41" i="5"/>
  <c r="F41" i="5"/>
  <c r="G41" i="5"/>
  <c r="I41" i="5"/>
  <c r="G34" i="5"/>
  <c r="J34" i="5"/>
  <c r="E32" i="5"/>
  <c r="F32" i="5"/>
  <c r="G32" i="5"/>
  <c r="I32" i="5"/>
  <c r="E25" i="5"/>
  <c r="F25" i="5"/>
  <c r="G29" i="2"/>
  <c r="N29" i="2"/>
  <c r="E27" i="2"/>
  <c r="F27" i="2"/>
  <c r="G27" i="2"/>
  <c r="J27" i="2"/>
  <c r="G44" i="5"/>
  <c r="I44" i="5"/>
  <c r="G40" i="5"/>
  <c r="I40" i="5"/>
  <c r="E38" i="5"/>
  <c r="F38" i="5"/>
  <c r="E29" i="5"/>
  <c r="F29" i="5"/>
  <c r="G29" i="5"/>
  <c r="I29" i="5"/>
  <c r="G23" i="5"/>
  <c r="L23" i="5"/>
  <c r="E28" i="5"/>
  <c r="F28" i="5"/>
  <c r="E48" i="5"/>
  <c r="F48" i="5"/>
  <c r="G48" i="5"/>
  <c r="I48" i="5"/>
  <c r="G36" i="5"/>
  <c r="I36" i="5"/>
  <c r="E34" i="5"/>
  <c r="F34" i="5"/>
  <c r="U47" i="5"/>
  <c r="E27" i="5"/>
  <c r="F27" i="5"/>
  <c r="G27" i="5"/>
  <c r="L27" i="5"/>
  <c r="E21" i="5"/>
  <c r="F21" i="5"/>
  <c r="G21" i="5"/>
  <c r="L21" i="5"/>
  <c r="G31" i="2"/>
  <c r="K31" i="2"/>
  <c r="E29" i="2"/>
  <c r="F29" i="2"/>
  <c r="G27" i="4"/>
  <c r="J27" i="4"/>
  <c r="G46" i="5"/>
  <c r="I46" i="5"/>
  <c r="E44" i="5"/>
  <c r="F44" i="5"/>
  <c r="E40" i="5"/>
  <c r="F40" i="5"/>
  <c r="G33" i="5"/>
  <c r="J33" i="5"/>
  <c r="E31" i="5"/>
  <c r="F31" i="5"/>
  <c r="G31" i="5"/>
  <c r="I31" i="5"/>
  <c r="G26" i="5"/>
  <c r="L26" i="5"/>
  <c r="I26" i="4"/>
  <c r="C11" i="4"/>
  <c r="C12" i="4"/>
  <c r="C16" i="4"/>
  <c r="D18" i="4"/>
  <c r="N35" i="5"/>
  <c r="C11" i="2"/>
  <c r="C12" i="2"/>
  <c r="C16" i="2"/>
  <c r="D18" i="2"/>
  <c r="E27" i="6"/>
  <c r="E20" i="6"/>
  <c r="E17" i="6"/>
  <c r="C12" i="3"/>
  <c r="C16" i="3"/>
  <c r="D18" i="3"/>
  <c r="C11" i="3"/>
  <c r="E14" i="6"/>
  <c r="E31" i="6"/>
  <c r="C12" i="1"/>
  <c r="C16" i="1"/>
  <c r="D18" i="1"/>
  <c r="H21" i="1"/>
  <c r="C11" i="1"/>
  <c r="E23" i="6"/>
  <c r="E25" i="6"/>
  <c r="E33" i="6"/>
  <c r="E12" i="6"/>
  <c r="E11" i="6"/>
  <c r="E21" i="6"/>
  <c r="E13" i="6"/>
  <c r="E30" i="6"/>
  <c r="E36" i="6"/>
  <c r="E16" i="6"/>
  <c r="E24" i="6"/>
  <c r="E28" i="6"/>
  <c r="E35" i="6"/>
  <c r="O27" i="1"/>
  <c r="R27" i="1"/>
  <c r="O25" i="1"/>
  <c r="R25" i="1"/>
  <c r="O31" i="1"/>
  <c r="R31" i="1"/>
  <c r="O24" i="1"/>
  <c r="R24" i="1"/>
  <c r="O23" i="1"/>
  <c r="R23" i="1"/>
  <c r="O22" i="1"/>
  <c r="R22" i="1"/>
  <c r="O30" i="1"/>
  <c r="R30" i="1"/>
  <c r="O29" i="1"/>
  <c r="R29" i="1"/>
  <c r="O28" i="1"/>
  <c r="R28" i="1"/>
  <c r="O21" i="1"/>
  <c r="O26" i="1"/>
  <c r="R26" i="1"/>
  <c r="O25" i="2"/>
  <c r="R25" i="2"/>
  <c r="O24" i="2"/>
  <c r="R24" i="2"/>
  <c r="O23" i="2"/>
  <c r="R23" i="2"/>
  <c r="O31" i="2"/>
  <c r="R31" i="2"/>
  <c r="O22" i="2"/>
  <c r="R22" i="2"/>
  <c r="O30" i="2"/>
  <c r="R30" i="2"/>
  <c r="O29" i="2"/>
  <c r="R29" i="2"/>
  <c r="O21" i="2"/>
  <c r="O28" i="2"/>
  <c r="R28" i="2"/>
  <c r="O27" i="2"/>
  <c r="R27" i="2"/>
  <c r="O26" i="2"/>
  <c r="R26" i="2"/>
  <c r="O24" i="3"/>
  <c r="O28" i="3"/>
  <c r="O31" i="3"/>
  <c r="O23" i="3"/>
  <c r="O27" i="3"/>
  <c r="O21" i="3"/>
  <c r="O25" i="3"/>
  <c r="O29" i="3"/>
  <c r="O22" i="3"/>
  <c r="O26" i="3"/>
  <c r="O30" i="3"/>
  <c r="O24" i="4"/>
  <c r="R24" i="4"/>
  <c r="O28" i="4"/>
  <c r="R28" i="4"/>
  <c r="O32" i="4"/>
  <c r="R32" i="4"/>
  <c r="O21" i="4"/>
  <c r="O27" i="4"/>
  <c r="R27" i="4"/>
  <c r="O33" i="4"/>
  <c r="R33" i="4"/>
  <c r="O25" i="4"/>
  <c r="R25" i="4"/>
  <c r="O29" i="4"/>
  <c r="R29" i="4"/>
  <c r="C15" i="4"/>
  <c r="C18" i="4"/>
  <c r="O23" i="4"/>
  <c r="R23" i="4"/>
  <c r="O22" i="4"/>
  <c r="R22" i="4"/>
  <c r="O26" i="4"/>
  <c r="R26" i="4"/>
  <c r="O30" i="4"/>
  <c r="R30" i="4"/>
  <c r="O31" i="4"/>
  <c r="R31" i="4"/>
  <c r="R15" i="2"/>
  <c r="R16" i="2"/>
  <c r="R15" i="1"/>
  <c r="R16" i="1"/>
  <c r="R15" i="4"/>
  <c r="R16" i="4"/>
  <c r="R17" i="4"/>
  <c r="R17" i="1"/>
  <c r="R17" i="2"/>
  <c r="C11" i="5"/>
  <c r="C12" i="5"/>
  <c r="C16" i="5" l="1"/>
  <c r="D18" i="5" s="1"/>
  <c r="O38" i="5"/>
  <c r="R38" i="5" s="1"/>
  <c r="O42" i="5"/>
  <c r="R42" i="5" s="1"/>
  <c r="O35" i="5"/>
  <c r="R35" i="5" s="1"/>
  <c r="O21" i="5"/>
  <c r="R21" i="5" s="1"/>
  <c r="O39" i="5"/>
  <c r="R39" i="5" s="1"/>
  <c r="O36" i="5"/>
  <c r="R36" i="5" s="1"/>
  <c r="O29" i="5"/>
  <c r="R29" i="5" s="1"/>
  <c r="O30" i="5"/>
  <c r="R30" i="5" s="1"/>
  <c r="O45" i="5"/>
  <c r="R45" i="5" s="1"/>
  <c r="O26" i="5"/>
  <c r="R26" i="5" s="1"/>
  <c r="O28" i="5"/>
  <c r="R28" i="5" s="1"/>
  <c r="O37" i="5"/>
  <c r="R37" i="5" s="1"/>
  <c r="O32" i="5"/>
  <c r="R32" i="5" s="1"/>
  <c r="O27" i="5"/>
  <c r="R27" i="5" s="1"/>
  <c r="O43" i="5"/>
  <c r="R43" i="5" s="1"/>
  <c r="O41" i="5"/>
  <c r="R41" i="5" s="1"/>
  <c r="O48" i="5"/>
  <c r="R48" i="5" s="1"/>
  <c r="O49" i="5"/>
  <c r="R49" i="5" s="1"/>
  <c r="O31" i="5"/>
  <c r="R31" i="5" s="1"/>
  <c r="O24" i="5"/>
  <c r="O23" i="5"/>
  <c r="R23" i="5" s="1"/>
  <c r="O40" i="5"/>
  <c r="R40" i="5" s="1"/>
  <c r="C15" i="5"/>
  <c r="O47" i="5"/>
  <c r="R47" i="5" s="1"/>
  <c r="O22" i="5"/>
  <c r="R22" i="5" s="1"/>
  <c r="O44" i="5"/>
  <c r="R44" i="5" s="1"/>
  <c r="O33" i="5"/>
  <c r="R33" i="5" s="1"/>
  <c r="O34" i="5"/>
  <c r="R34" i="5" s="1"/>
  <c r="O25" i="5"/>
  <c r="R25" i="5" s="1"/>
  <c r="O46" i="5"/>
  <c r="R46" i="5" s="1"/>
  <c r="C18" i="5" l="1"/>
  <c r="F18" i="5"/>
  <c r="F19" i="5" s="1"/>
  <c r="R16" i="5"/>
  <c r="R15" i="5"/>
  <c r="R17" i="5" l="1"/>
</calcChain>
</file>

<file path=xl/sharedStrings.xml><?xml version="1.0" encoding="utf-8"?>
<sst xmlns="http://schemas.openxmlformats.org/spreadsheetml/2006/main" count="533" uniqueCount="195">
  <si>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</si>
  <si>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</si>
  <si>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</si>
  <si>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</si>
  <si>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</si>
  <si>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</si>
  <si>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</si>
  <si>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</si>
  <si>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</si>
  <si>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</si>
  <si>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</si>
  <si>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</si>
  <si>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</si>
  <si>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</si>
  <si>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</si>
  <si>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</si>
  <si>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</si>
  <si>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</si>
  <si>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</si>
  <si>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</si>
  <si>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</si>
  <si>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</si>
  <si>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</si>
  <si>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</si>
  <si>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</si>
  <si>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</si>
  <si>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</si>
  <si>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</si>
  <si>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</si>
  <si>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V530 Mon</t>
  </si>
  <si>
    <t>Mag:  12.4-12.8</t>
  </si>
  <si>
    <t>EW</t>
  </si>
  <si>
    <t>IBVS 4562</t>
  </si>
  <si>
    <t>IBVS 4711</t>
  </si>
  <si>
    <t>BBSAG Bull.117</t>
  </si>
  <si>
    <t>Dvorak, private comm  2003-01-24</t>
  </si>
  <si>
    <t>IBVS 5493</t>
  </si>
  <si>
    <t>II</t>
  </si>
  <si>
    <t>IBVS 5378</t>
  </si>
  <si>
    <t>I</t>
  </si>
  <si>
    <t>Nelson</t>
  </si>
  <si>
    <t>BBSAG</t>
  </si>
  <si>
    <t>IBVS</t>
  </si>
  <si>
    <t>Found by TomCat (period search software).</t>
  </si>
  <si>
    <t>See page B</t>
  </si>
  <si>
    <t>Pribulla</t>
  </si>
  <si>
    <t>(who lacks my point)</t>
  </si>
  <si>
    <t>Count</t>
  </si>
  <si>
    <t>RMS dev'n =</t>
  </si>
  <si>
    <r>
      <t>diff</t>
    </r>
    <r>
      <rPr>
        <b/>
        <vertAlign val="superscript"/>
        <sz val="10"/>
        <rFont val="Arial"/>
        <family val="2"/>
      </rPr>
      <t>2</t>
    </r>
  </si>
  <si>
    <t>V530 Mon / GSC 00166-02648</t>
  </si>
  <si>
    <t>IBVS 5657</t>
  </si>
  <si>
    <t>bad?</t>
  </si>
  <si>
    <t>IBVS 5731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</si>
  <si>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</si>
  <si>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</si>
  <si>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</si>
  <si>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</si>
  <si>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</si>
  <si>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</si>
  <si>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</si>
  <si>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</si>
  <si>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</si>
  <si>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</si>
  <si>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IBVS 5929</t>
  </si>
  <si>
    <t>IBVS 5992</t>
  </si>
  <si>
    <t>IBVS 6010</t>
  </si>
  <si>
    <t>IBVS 6029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</si>
  <si>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</si>
  <si>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</si>
  <si>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</si>
  <si>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</si>
  <si>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</si>
  <si>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</si>
  <si>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</si>
  <si>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</si>
  <si>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</si>
  <si>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</si>
  <si>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</si>
  <si>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</si>
  <si>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</si>
  <si>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2429691.383 </t>
  </si>
  <si>
    <t> 02.03.1940 21:11 </t>
  </si>
  <si>
    <t> -0.008 </t>
  </si>
  <si>
    <t> A.A.Wachmann </t>
  </si>
  <si>
    <t> AHSB 7.7.376 </t>
  </si>
  <si>
    <t>2431843.424 </t>
  </si>
  <si>
    <t> 22.01.1946 22:10 </t>
  </si>
  <si>
    <t> -0.009 </t>
  </si>
  <si>
    <t>2433005.369 </t>
  </si>
  <si>
    <t> 29.03.1949 20:51 </t>
  </si>
  <si>
    <t> -0.010 </t>
  </si>
  <si>
    <t>2434445.319 </t>
  </si>
  <si>
    <t> 08.03.1953 19:39 </t>
  </si>
  <si>
    <t>2435186.314 </t>
  </si>
  <si>
    <t> 19.03.1955 19:32 </t>
  </si>
  <si>
    <t> -0.012 </t>
  </si>
  <si>
    <t>2436979.419 </t>
  </si>
  <si>
    <t> 14.02.1960 22:03 </t>
  </si>
  <si>
    <t> -0.013 </t>
  </si>
  <si>
    <t>2450442.5430 </t>
  </si>
  <si>
    <t> 25.12.1996 01:01 </t>
  </si>
  <si>
    <t> 0.1003 </t>
  </si>
  <si>
    <t>E </t>
  </si>
  <si>
    <t>o</t>
  </si>
  <si>
    <t> W.Moschner </t>
  </si>
  <si>
    <t>BAVM 102 </t>
  </si>
  <si>
    <t>2450443.5890 </t>
  </si>
  <si>
    <t> 26.12.1996 02:08 </t>
  </si>
  <si>
    <t> 0.0953 </t>
  </si>
  <si>
    <t>2450446.4834 </t>
  </si>
  <si>
    <t> 28.12.1996 23:36 </t>
  </si>
  <si>
    <t> -0.1635 </t>
  </si>
  <si>
    <t>2450841.4280 </t>
  </si>
  <si>
    <t> 27.01.1998 22:16 </t>
  </si>
  <si>
    <t> 0.1085 </t>
  </si>
  <si>
    <t>BAVM 117 </t>
  </si>
  <si>
    <t>2450848.5118 </t>
  </si>
  <si>
    <t> 04.02.1998 00:16 </t>
  </si>
  <si>
    <t> -0.1651 </t>
  </si>
  <si>
    <t> W.Kleikamp </t>
  </si>
  <si>
    <t>2450854.568 </t>
  </si>
  <si>
    <t> 10.02.1998 01:37 </t>
  </si>
  <si>
    <t> 0.110 </t>
  </si>
  <si>
    <t>?</t>
  </si>
  <si>
    <t> B.Krobusek </t>
  </si>
  <si>
    <t> BBS 117 </t>
  </si>
  <si>
    <t>2450860.3479 </t>
  </si>
  <si>
    <t> 15.02.1998 20:20 </t>
  </si>
  <si>
    <t> 0.1094 </t>
  </si>
  <si>
    <t> R.Diethelm </t>
  </si>
  <si>
    <t>2452597.7630 </t>
  </si>
  <si>
    <t> 19.11.2002 06:18 </t>
  </si>
  <si>
    <t> 0.1244 </t>
  </si>
  <si>
    <t> S.Dvorak </t>
  </si>
  <si>
    <t>IBVS 5378 </t>
  </si>
  <si>
    <t>2452947.0313 </t>
  </si>
  <si>
    <t> 03.11.2003 12:45 </t>
  </si>
  <si>
    <t> 0.1785 </t>
  </si>
  <si>
    <t> R.Nelson </t>
  </si>
  <si>
    <t>IBVS 5493 </t>
  </si>
  <si>
    <t>2453354.5274 </t>
  </si>
  <si>
    <t> 15.12.2004 00:39 </t>
  </si>
  <si>
    <t> 0.1266 </t>
  </si>
  <si>
    <t> Moschner &amp; Frank </t>
  </si>
  <si>
    <t>BAVM 173 </t>
  </si>
  <si>
    <t>2453763.3920 </t>
  </si>
  <si>
    <t> 27.01.2006 21:24 </t>
  </si>
  <si>
    <t> 0.1293 </t>
  </si>
  <si>
    <t>C </t>
  </si>
  <si>
    <t>BAVM 178 </t>
  </si>
  <si>
    <t>2454026.684 </t>
  </si>
  <si>
    <t> 18.10.2006 04:24 </t>
  </si>
  <si>
    <t> 0.131 </t>
  </si>
  <si>
    <t>BAVM 186 </t>
  </si>
  <si>
    <t>2454085.5429 </t>
  </si>
  <si>
    <t> 16.12.2006 01:01 </t>
  </si>
  <si>
    <t> 0.1308 </t>
  </si>
  <si>
    <t>2454134.1499 </t>
  </si>
  <si>
    <t> 02.02.2007 15:35 </t>
  </si>
  <si>
    <t> 0.1263 </t>
  </si>
  <si>
    <t>Ic</t>
  </si>
  <si>
    <t> K.Nakajima </t>
  </si>
  <si>
    <t>VSB 46 </t>
  </si>
  <si>
    <t>2454875.6770 </t>
  </si>
  <si>
    <t> 13.02.2009 04:14 </t>
  </si>
  <si>
    <t> 0.1315 </t>
  </si>
  <si>
    <t>IBVS 5929 </t>
  </si>
  <si>
    <t>2455607.7412 </t>
  </si>
  <si>
    <t> 15.02.2011 05:47 </t>
  </si>
  <si>
    <t> 0.1333 </t>
  </si>
  <si>
    <t>IBVS 5992 </t>
  </si>
  <si>
    <t>2455625.3450 </t>
  </si>
  <si>
    <t> 04.03.2011 20:16 </t>
  </si>
  <si>
    <t> 0.1319 </t>
  </si>
  <si>
    <t> W.Moschner &amp; P.Frank </t>
  </si>
  <si>
    <t>BAVM 220 </t>
  </si>
  <si>
    <t>2455635.3309 </t>
  </si>
  <si>
    <t> 14.03.2011 19:56 </t>
  </si>
  <si>
    <t> 0.1327 </t>
  </si>
  <si>
    <t> J.Schirmer </t>
  </si>
  <si>
    <t>2455941.4532 </t>
  </si>
  <si>
    <t> 14.01.2012 22:52 </t>
  </si>
  <si>
    <t> 0.1342 </t>
  </si>
  <si>
    <t> L.Pagel </t>
  </si>
  <si>
    <t>BAVM 225 </t>
  </si>
  <si>
    <t>2455976.6601 </t>
  </si>
  <si>
    <t> 19.02.2012 03:50 </t>
  </si>
  <si>
    <t> 0.1306 </t>
  </si>
  <si>
    <t>IBVS 6029 </t>
  </si>
  <si>
    <t>2456273.8469 </t>
  </si>
  <si>
    <t> 12.12.2012 08:19 </t>
  </si>
  <si>
    <t> 0.1305 </t>
  </si>
  <si>
    <t>IBVS 6042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</si>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</sst>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8" fillId="0" borderId="1" applyNumberFormat="0" applyFont="0" applyFill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172" fontId="0" fillId="0" borderId="0" xfId="0" applyNumberFormat="1">
      <alignment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2" fontId="0" fillId="0" borderId="0" xfId="0" applyNumberFormat="1" applyAlignment="1">
      <alignment horizontal="left" vertical="top"/>
    </xf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top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3" fillId="0" borderId="0" xfId="0" quotePrefix="1" applyFont="1" applyAlignment="1"/>
    <xf numFmtId="0" fontId="6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0" fillId="0" borderId="0" xfId="0">
      <alignment vertical="top"/>
    </xf>
    <xf numFmtId="0" fontId="5" fillId="0" borderId="0" xfId="0" applyFont="1" applyAlignme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8" fillId="0" borderId="0" xfId="0" applyFont="1">
      <alignment vertical="top"/>
    </xf>
    <xf numFmtId="0" fontId="17" fillId="0" borderId="0" xfId="0" applyFont="1">
      <alignment vertical="top"/>
    </xf>
    <xf numFmtId="0" fontId="6" fillId="0" borderId="0" xfId="0" applyFont="1">
      <alignment vertical="top"/>
    </xf>
    <xf numFmtId="22" fontId="11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NumberFormat="1" applyFont="1" applyAlignment="1">
      <alignment horizontal="left" vertic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8" fillId="2" borderId="0" xfId="0" applyFont="1" applyFill="1" applyAlignment="1"/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9" fillId="0" borderId="0" xfId="0" applyFont="1" applyFill="1" applyAlignment="1"/>
    <xf numFmtId="0" fontId="23" fillId="0" borderId="0" xfId="0" applyFo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4" fillId="3" borderId="11" xfId="7" applyFill="1" applyBorder="1" applyAlignment="1" applyProtection="1">
      <alignment horizontal="right" vertical="top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F-498F-B589-FD0E62A816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0.10030949999782024</c:v>
                </c:pt>
                <c:pt idx="8">
                  <c:v>9.5250799997302238E-2</c:v>
                </c:pt>
                <c:pt idx="9">
                  <c:v>9.923937499843305E-2</c:v>
                </c:pt>
                <c:pt idx="10">
                  <c:v>0.10853285000484902</c:v>
                </c:pt>
                <c:pt idx="11">
                  <c:v>9.768662500573555E-2</c:v>
                </c:pt>
                <c:pt idx="15">
                  <c:v>0.12444515000242973</c:v>
                </c:pt>
                <c:pt idx="17">
                  <c:v>0.12658114999794634</c:v>
                </c:pt>
                <c:pt idx="18">
                  <c:v>0.12934685000072932</c:v>
                </c:pt>
                <c:pt idx="19">
                  <c:v>0.13114250000216998</c:v>
                </c:pt>
                <c:pt idx="20">
                  <c:v>0.13075530000060098</c:v>
                </c:pt>
                <c:pt idx="23">
                  <c:v>0.13329302499914775</c:v>
                </c:pt>
                <c:pt idx="24">
                  <c:v>0.13185980000707787</c:v>
                </c:pt>
                <c:pt idx="25">
                  <c:v>0.13270215000375174</c:v>
                </c:pt>
                <c:pt idx="27">
                  <c:v>0.13058932500280207</c:v>
                </c:pt>
                <c:pt idx="28">
                  <c:v>0.13054189999820665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F-498F-B589-FD0E62A816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2">
                  <c:v>0.11029910000070231</c:v>
                </c:pt>
                <c:pt idx="13">
                  <c:v>0.10937625000224216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F-498F-B589-FD0E62A816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2">
                  <c:v>0.13147757499973522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BF-498F-B589-FD0E62A816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0">
                  <c:v>-7.7763999979651999E-3</c:v>
                </c:pt>
                <c:pt idx="1">
                  <c:v>-9.4646500001545064E-3</c:v>
                </c:pt>
                <c:pt idx="2">
                  <c:v>-9.8575000010896474E-3</c:v>
                </c:pt>
                <c:pt idx="4">
                  <c:v>-1.0276499997416977E-2</c:v>
                </c:pt>
                <c:pt idx="5">
                  <c:v>-1.1659999996481929E-2</c:v>
                </c:pt>
                <c:pt idx="6">
                  <c:v>-1.2802199998986907E-2</c:v>
                </c:pt>
                <c:pt idx="21">
                  <c:v>0.12629042499611387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BF-498F-B589-FD0E62A816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BF-498F-B589-FD0E62A816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  <c:pt idx="14">
                  <c:v>0.12444515000242973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BF-498F-B589-FD0E62A816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8.0512855195017996E-2</c:v>
                </c:pt>
                <c:pt idx="1">
                  <c:v>8.4761391391839427E-2</c:v>
                </c:pt>
                <c:pt idx="2">
                  <c:v>8.7055289690049983E-2</c:v>
                </c:pt>
                <c:pt idx="3">
                  <c:v>8.7625911157266534E-2</c:v>
                </c:pt>
                <c:pt idx="4">
                  <c:v>8.9898022090365182E-2</c:v>
                </c:pt>
                <c:pt idx="5">
                  <c:v>9.1360888033593074E-2</c:v>
                </c:pt>
                <c:pt idx="6">
                  <c:v>9.4900816117489226E-2</c:v>
                </c:pt>
                <c:pt idx="7">
                  <c:v>0.12147932656685957</c:v>
                </c:pt>
                <c:pt idx="8">
                  <c:v>0.12148140155401309</c:v>
                </c:pt>
                <c:pt idx="9">
                  <c:v>0.12148710776868527</c:v>
                </c:pt>
                <c:pt idx="10">
                  <c:v>0.12226678419161842</c:v>
                </c:pt>
                <c:pt idx="11">
                  <c:v>0.12228079035490465</c:v>
                </c:pt>
                <c:pt idx="12">
                  <c:v>0.12229272153103735</c:v>
                </c:pt>
                <c:pt idx="13">
                  <c:v>0.12230413396038169</c:v>
                </c:pt>
                <c:pt idx="14">
                  <c:v>0.12573408772514155</c:v>
                </c:pt>
                <c:pt idx="15">
                  <c:v>0.12573408772514155</c:v>
                </c:pt>
                <c:pt idx="16">
                  <c:v>0.12642402095368521</c:v>
                </c:pt>
                <c:pt idx="17">
                  <c:v>0.12722807847567216</c:v>
                </c:pt>
                <c:pt idx="18">
                  <c:v>0.1280352484783894</c:v>
                </c:pt>
                <c:pt idx="19">
                  <c:v>0.12855503276034486</c:v>
                </c:pt>
                <c:pt idx="20">
                  <c:v>0.12867123204094166</c:v>
                </c:pt>
                <c:pt idx="21">
                  <c:v>0.12876720019679172</c:v>
                </c:pt>
                <c:pt idx="22">
                  <c:v>0.13023110363359638</c:v>
                </c:pt>
                <c:pt idx="23">
                  <c:v>0.1316763321860194</c:v>
                </c:pt>
                <c:pt idx="24">
                  <c:v>0.13171108822084077</c:v>
                </c:pt>
                <c:pt idx="25">
                  <c:v>0.13173080059879916</c:v>
                </c:pt>
                <c:pt idx="26">
                  <c:v>0.13233565935404873</c:v>
                </c:pt>
                <c:pt idx="27">
                  <c:v>0.13240465267690307</c:v>
                </c:pt>
                <c:pt idx="28">
                  <c:v>0.13299135529455935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BF-498F-B589-FD0E62A81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60728"/>
        <c:axId val="1"/>
      </c:scatterChart>
      <c:valAx>
        <c:axId val="499660728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66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62698705472802"/>
          <c:y val="0.92073298764483702"/>
          <c:w val="0.7948310499959717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8-426F-AA25-445372B01244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'C'!$I$21:$I$999</c:f>
              <c:numCache>
                <c:formatCode>General</c:formatCode>
                <c:ptCount val="979"/>
                <c:pt idx="1">
                  <c:v>8.292899998195935E-3</c:v>
                </c:pt>
                <c:pt idx="2">
                  <c:v>3.2285600027535111E-3</c:v>
                </c:pt>
                <c:pt idx="3">
                  <c:v>7.2016250051092356E-3</c:v>
                </c:pt>
                <c:pt idx="4">
                  <c:v>1.437586999963969E-2</c:v>
                </c:pt>
                <c:pt idx="5">
                  <c:v>3.4915750075015239E-3</c:v>
                </c:pt>
                <c:pt idx="9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8-426F-AA25-445372B01244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'C'!$J$21:$J$999</c:f>
              <c:numCache>
                <c:formatCode>General</c:formatCode>
                <c:ptCount val="979"/>
                <c:pt idx="6">
                  <c:v>1.6071620004368015E-2</c:v>
                </c:pt>
                <c:pt idx="7">
                  <c:v>1.5117750001081731E-2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8-426F-AA25-445372B01244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'C'!$K$21:$K$999</c:f>
              <c:numCache>
                <c:formatCode>General</c:formatCode>
                <c:ptCount val="979"/>
                <c:pt idx="10">
                  <c:v>7.3036765010328963E-2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38-426F-AA25-445372B01244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38-426F-AA25-445372B01244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38-426F-AA25-445372B01244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'C'!$N$21:$N$999</c:f>
              <c:numCache>
                <c:formatCode>General</c:formatCode>
                <c:ptCount val="979"/>
                <c:pt idx="8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38-426F-AA25-445372B01244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'C'!$O$21:$O$999</c:f>
              <c:numCache>
                <c:formatCode>General</c:formatCode>
                <c:ptCount val="979"/>
                <c:pt idx="0">
                  <c:v>-9.9149035228240812E-2</c:v>
                </c:pt>
                <c:pt idx="1">
                  <c:v>8.0351608589281642E-3</c:v>
                </c:pt>
                <c:pt idx="2">
                  <c:v>8.0417305307692449E-3</c:v>
                </c:pt>
                <c:pt idx="3">
                  <c:v>8.0597971283321995E-3</c:v>
                </c:pt>
                <c:pt idx="4">
                  <c:v>1.0528351322616827E-2</c:v>
                </c:pt>
                <c:pt idx="5">
                  <c:v>1.0572696607544105E-2</c:v>
                </c:pt>
                <c:pt idx="6">
                  <c:v>1.0610472220630301E-2</c:v>
                </c:pt>
                <c:pt idx="7">
                  <c:v>1.0646605415756225E-2</c:v>
                </c:pt>
                <c:pt idx="8">
                  <c:v>2.1506272969056273E-2</c:v>
                </c:pt>
                <c:pt idx="9">
                  <c:v>2.1506272969056273E-2</c:v>
                </c:pt>
                <c:pt idx="10">
                  <c:v>2.3689046438254049E-2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38-426F-AA25-445372B01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333272"/>
        <c:axId val="1"/>
      </c:scatterChart>
      <c:valAx>
        <c:axId val="437333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333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838709677419354"/>
          <c:y val="0.91950464396284826"/>
          <c:w val="0.9419354838709677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A-4ECA-8FC0-4219569C04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0.10030949999782024</c:v>
                </c:pt>
                <c:pt idx="8">
                  <c:v>9.5250799997302238E-2</c:v>
                </c:pt>
                <c:pt idx="9">
                  <c:v>9.923937499843305E-2</c:v>
                </c:pt>
                <c:pt idx="10">
                  <c:v>0.10853285000484902</c:v>
                </c:pt>
                <c:pt idx="11">
                  <c:v>9.768662500573555E-2</c:v>
                </c:pt>
                <c:pt idx="15">
                  <c:v>0.12444515000242973</c:v>
                </c:pt>
                <c:pt idx="17">
                  <c:v>0.12658114999794634</c:v>
                </c:pt>
                <c:pt idx="18">
                  <c:v>0.12934685000072932</c:v>
                </c:pt>
                <c:pt idx="19">
                  <c:v>0.13114250000216998</c:v>
                </c:pt>
                <c:pt idx="20">
                  <c:v>0.13075530000060098</c:v>
                </c:pt>
                <c:pt idx="23">
                  <c:v>0.13329302499914775</c:v>
                </c:pt>
                <c:pt idx="24">
                  <c:v>0.13185980000707787</c:v>
                </c:pt>
                <c:pt idx="25">
                  <c:v>0.13270215000375174</c:v>
                </c:pt>
                <c:pt idx="27">
                  <c:v>0.13058932500280207</c:v>
                </c:pt>
                <c:pt idx="28">
                  <c:v>0.13054189999820665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A-4ECA-8FC0-4219569C04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2">
                  <c:v>0.11029910000070231</c:v>
                </c:pt>
                <c:pt idx="13">
                  <c:v>0.10937625000224216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6A-4ECA-8FC0-4219569C04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2">
                  <c:v>0.13147757499973522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6A-4ECA-8FC0-4219569C04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0">
                  <c:v>-7.7763999979651999E-3</c:v>
                </c:pt>
                <c:pt idx="1">
                  <c:v>-9.4646500001545064E-3</c:v>
                </c:pt>
                <c:pt idx="2">
                  <c:v>-9.8575000010896474E-3</c:v>
                </c:pt>
                <c:pt idx="4">
                  <c:v>-1.0276499997416977E-2</c:v>
                </c:pt>
                <c:pt idx="5">
                  <c:v>-1.1659999996481929E-2</c:v>
                </c:pt>
                <c:pt idx="6">
                  <c:v>-1.2802199998986907E-2</c:v>
                </c:pt>
                <c:pt idx="21">
                  <c:v>0.12629042499611387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6A-4ECA-8FC0-4219569C04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6A-4ECA-8FC0-4219569C04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  <c:pt idx="14">
                  <c:v>0.12444515000242973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6A-4ECA-8FC0-4219569C04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8.0512855195017996E-2</c:v>
                </c:pt>
                <c:pt idx="1">
                  <c:v>8.4761391391839427E-2</c:v>
                </c:pt>
                <c:pt idx="2">
                  <c:v>8.7055289690049983E-2</c:v>
                </c:pt>
                <c:pt idx="3">
                  <c:v>8.7625911157266534E-2</c:v>
                </c:pt>
                <c:pt idx="4">
                  <c:v>8.9898022090365182E-2</c:v>
                </c:pt>
                <c:pt idx="5">
                  <c:v>9.1360888033593074E-2</c:v>
                </c:pt>
                <c:pt idx="6">
                  <c:v>9.4900816117489226E-2</c:v>
                </c:pt>
                <c:pt idx="7">
                  <c:v>0.12147932656685957</c:v>
                </c:pt>
                <c:pt idx="8">
                  <c:v>0.12148140155401309</c:v>
                </c:pt>
                <c:pt idx="9">
                  <c:v>0.12148710776868527</c:v>
                </c:pt>
                <c:pt idx="10">
                  <c:v>0.12226678419161842</c:v>
                </c:pt>
                <c:pt idx="11">
                  <c:v>0.12228079035490465</c:v>
                </c:pt>
                <c:pt idx="12">
                  <c:v>0.12229272153103735</c:v>
                </c:pt>
                <c:pt idx="13">
                  <c:v>0.12230413396038169</c:v>
                </c:pt>
                <c:pt idx="14">
                  <c:v>0.12573408772514155</c:v>
                </c:pt>
                <c:pt idx="15">
                  <c:v>0.12573408772514155</c:v>
                </c:pt>
                <c:pt idx="16">
                  <c:v>0.12642402095368521</c:v>
                </c:pt>
                <c:pt idx="17">
                  <c:v>0.12722807847567216</c:v>
                </c:pt>
                <c:pt idx="18">
                  <c:v>0.1280352484783894</c:v>
                </c:pt>
                <c:pt idx="19">
                  <c:v>0.12855503276034486</c:v>
                </c:pt>
                <c:pt idx="20">
                  <c:v>0.12867123204094166</c:v>
                </c:pt>
                <c:pt idx="21">
                  <c:v>0.12876720019679172</c:v>
                </c:pt>
                <c:pt idx="22">
                  <c:v>0.13023110363359638</c:v>
                </c:pt>
                <c:pt idx="23">
                  <c:v>0.1316763321860194</c:v>
                </c:pt>
                <c:pt idx="24">
                  <c:v>0.13171108822084077</c:v>
                </c:pt>
                <c:pt idx="25">
                  <c:v>0.13173080059879916</c:v>
                </c:pt>
                <c:pt idx="26">
                  <c:v>0.13233565935404873</c:v>
                </c:pt>
                <c:pt idx="27">
                  <c:v>0.13240465267690307</c:v>
                </c:pt>
                <c:pt idx="28">
                  <c:v>0.13299135529455935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6A-4ECA-8FC0-4219569C04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6">
                  <c:v>-8.4272599997348152E-2</c:v>
                </c:pt>
                <c:pt idx="26">
                  <c:v>-0.12860889999137726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6A-4ECA-8FC0-4219569C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831848"/>
        <c:axId val="1"/>
      </c:scatterChart>
      <c:valAx>
        <c:axId val="68783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831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774193548387094E-2"/>
          <c:y val="0.9204921861831491"/>
          <c:w val="0.8951612903225806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2-4E5A-9E06-DFE8BD52ABE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-0.10352358400268713</c:v>
                </c:pt>
                <c:pt idx="2">
                  <c:v>-0.10859477759368019</c:v>
                </c:pt>
                <c:pt idx="3">
                  <c:v>-0.1046405599990976</c:v>
                </c:pt>
                <c:pt idx="4">
                  <c:v>-0.10004155519709457</c:v>
                </c:pt>
                <c:pt idx="5">
                  <c:v>-0.11097211199376034</c:v>
                </c:pt>
                <c:pt idx="9">
                  <c:v>-0.1050060607958585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D2-4E5A-9E06-DFE8BD52ABE5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6">
                  <c:v>-9.8431475198594853E-2</c:v>
                </c:pt>
                <c:pt idx="7">
                  <c:v>-9.9423039995599538E-2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D2-4E5A-9E06-DFE8BD52ABE5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10">
                  <c:v>-5.5110134395363275E-2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D2-4E5A-9E06-DFE8BD52ABE5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D2-4E5A-9E06-DFE8BD52ABE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D2-4E5A-9E06-DFE8BD52ABE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  <c:pt idx="8">
                  <c:v>-0.1050060607958585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D2-4E5A-9E06-DFE8BD52ABE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-1.8443351366428384E-3</c:v>
                </c:pt>
                <c:pt idx="1">
                  <c:v>-9.9971831514696505E-2</c:v>
                </c:pt>
                <c:pt idx="2">
                  <c:v>-9.9977846071630502E-2</c:v>
                </c:pt>
                <c:pt idx="3">
                  <c:v>-9.9994386103198982E-2</c:v>
                </c:pt>
                <c:pt idx="4">
                  <c:v>-0.10225435587114587</c:v>
                </c:pt>
                <c:pt idx="5">
                  <c:v>-0.10229495413045031</c:v>
                </c:pt>
                <c:pt idx="6">
                  <c:v>-0.10232953783282075</c:v>
                </c:pt>
                <c:pt idx="7">
                  <c:v>-0.1023626178959577</c:v>
                </c:pt>
                <c:pt idx="8">
                  <c:v>-0.11230468050784387</c:v>
                </c:pt>
                <c:pt idx="9">
                  <c:v>-0.11230468050784387</c:v>
                </c:pt>
                <c:pt idx="10">
                  <c:v>-0.11430301704916218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D2-4E5A-9E06-DFE8BD52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54904"/>
        <c:axId val="1"/>
      </c:scatterChart>
      <c:valAx>
        <c:axId val="65085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5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01147816942914"/>
          <c:y val="0.91925596256989606"/>
          <c:w val="0.9418425281654009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F8-4B7A-A292-73DCF33C0EE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-5.4360000001906883E-2</c:v>
                </c:pt>
                <c:pt idx="2">
                  <c:v>-5.8719999993627425E-2</c:v>
                </c:pt>
                <c:pt idx="3">
                  <c:v>-5.281000000104541E-2</c:v>
                </c:pt>
                <c:pt idx="4">
                  <c:v>-4.3569999994360842E-2</c:v>
                </c:pt>
                <c:pt idx="5">
                  <c:v>-4.9699999995937105E-2</c:v>
                </c:pt>
                <c:pt idx="9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F8-4B7A-A292-73DCF33C0EE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6">
                  <c:v>-3.3069999997678678E-2</c:v>
                </c:pt>
                <c:pt idx="7">
                  <c:v>-3.0149999998684507E-2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F8-4B7A-A292-73DCF33C0EE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  <c:pt idx="10">
                  <c:v>0.11311000000569038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F8-4B7A-A292-73DCF33C0EE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F8-4B7A-A292-73DCF33C0EE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F8-4B7A-A292-73DCF33C0EE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  <c:pt idx="8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F8-4B7A-A292-73DCF33C0EE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-1.2524630382764574</c:v>
                </c:pt>
                <c:pt idx="1">
                  <c:v>-6.1728448657919266E-2</c:v>
                </c:pt>
                <c:pt idx="2">
                  <c:v>-6.165551379392209E-2</c:v>
                </c:pt>
                <c:pt idx="3">
                  <c:v>-6.1454942917929856E-2</c:v>
                </c:pt>
                <c:pt idx="4">
                  <c:v>-3.4031434054976772E-2</c:v>
                </c:pt>
                <c:pt idx="5">
                  <c:v>-3.3539123722995612E-2</c:v>
                </c:pt>
                <c:pt idx="6">
                  <c:v>-3.3119748255011627E-2</c:v>
                </c:pt>
                <c:pt idx="7">
                  <c:v>-3.2718606503026937E-2</c:v>
                </c:pt>
                <c:pt idx="8">
                  <c:v>8.7915658548367359E-2</c:v>
                </c:pt>
                <c:pt idx="9">
                  <c:v>8.7915658548367359E-2</c:v>
                </c:pt>
                <c:pt idx="10">
                  <c:v>0.11216650082744151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F8-4B7A-A292-73DCF33C0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3416"/>
        <c:axId val="1"/>
      </c:scatterChart>
      <c:valAx>
        <c:axId val="50391341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01147816942914"/>
          <c:y val="0.91975600272188196"/>
          <c:w val="0.94184252816540093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93548387096774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F-42AB-AF26-4E828ACE68A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-5.4360000001906883E-2</c:v>
                </c:pt>
                <c:pt idx="2">
                  <c:v>-5.8719999993627425E-2</c:v>
                </c:pt>
                <c:pt idx="3">
                  <c:v>-5.281000000104541E-2</c:v>
                </c:pt>
                <c:pt idx="4">
                  <c:v>-4.3569999994360842E-2</c:v>
                </c:pt>
                <c:pt idx="5">
                  <c:v>-4.9699999995937105E-2</c:v>
                </c:pt>
                <c:pt idx="9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F-42AB-AF26-4E828ACE68A7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6">
                  <c:v>-3.3069999997678678E-2</c:v>
                </c:pt>
                <c:pt idx="7">
                  <c:v>-3.0149999998684507E-2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F-42AB-AF26-4E828ACE68A7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  <c:pt idx="10">
                  <c:v>0.11311000000569038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5F-42AB-AF26-4E828ACE68A7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5F-42AB-AF26-4E828ACE68A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5F-42AB-AF26-4E828ACE68A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  <c:pt idx="8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5F-42AB-AF26-4E828ACE68A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-1.2524630382764574</c:v>
                </c:pt>
                <c:pt idx="1">
                  <c:v>-6.1728448657919266E-2</c:v>
                </c:pt>
                <c:pt idx="2">
                  <c:v>-6.165551379392209E-2</c:v>
                </c:pt>
                <c:pt idx="3">
                  <c:v>-6.1454942917929856E-2</c:v>
                </c:pt>
                <c:pt idx="4">
                  <c:v>-3.4031434054976772E-2</c:v>
                </c:pt>
                <c:pt idx="5">
                  <c:v>-3.3539123722995612E-2</c:v>
                </c:pt>
                <c:pt idx="6">
                  <c:v>-3.3119748255011627E-2</c:v>
                </c:pt>
                <c:pt idx="7">
                  <c:v>-3.2718606503026937E-2</c:v>
                </c:pt>
                <c:pt idx="8">
                  <c:v>8.7915658548367359E-2</c:v>
                </c:pt>
                <c:pt idx="9">
                  <c:v>8.7915658548367359E-2</c:v>
                </c:pt>
                <c:pt idx="10">
                  <c:v>0.11216650082744151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5F-42AB-AF26-4E828ACE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044552"/>
        <c:axId val="1"/>
      </c:scatterChart>
      <c:valAx>
        <c:axId val="64304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04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35483870967742"/>
          <c:y val="0.91950464396284826"/>
          <c:w val="0.93709677419354842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69252958613219"/>
          <c:w val="0.809370589984625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B-485F-8CD4-C0F86C379F16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7B-485F-8CD4-C0F86C379F16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7B-485F-8CD4-C0F86C379F16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B-485F-8CD4-C0F86C379F16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B-485F-8CD4-C0F86C379F16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7B-485F-8CD4-C0F86C379F16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B-485F-8CD4-C0F86C379F16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7B-485F-8CD4-C0F86C37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51160"/>
        <c:axId val="1"/>
      </c:scatterChart>
      <c:valAx>
        <c:axId val="650851160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51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01147816942914"/>
          <c:y val="0.92000129214617399"/>
          <c:w val="0.9418425281654009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14859468012961"/>
          <c:w val="0.8096774193548387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D5-4B8A-8A8D-B3F457D57FB9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D5-4B8A-8A8D-B3F457D57FB9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D5-4B8A-8A8D-B3F457D57FB9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D5-4B8A-8A8D-B3F457D57FB9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D5-4B8A-8A8D-B3F457D57FB9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D5-4B8A-8A8D-B3F457D57FB9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D5-4B8A-8A8D-B3F457D57FB9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D5-4B8A-8A8D-B3F457D5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95024"/>
        <c:axId val="1"/>
      </c:scatterChart>
      <c:valAx>
        <c:axId val="73959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9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838709677419354"/>
          <c:y val="0.91975600272188196"/>
          <c:w val="0.9419354838709677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278431990118882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72589944450721"/>
          <c:y val="0.17065893212442126"/>
          <c:w val="0.70980528072395976"/>
          <c:h val="0.57784515614058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D-4338-A39A-1703758437C3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D-4338-A39A-1703758437C3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CD-4338-A39A-1703758437C3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CD-4338-A39A-1703758437C3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CD-4338-A39A-1703758437C3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CD-4338-A39A-1703758437C3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CD-4338-A39A-1703758437C3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CD-4338-A39A-17037584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081216"/>
        <c:axId val="1"/>
      </c:scatterChart>
      <c:valAx>
        <c:axId val="735081216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1176635273531983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58823529411764E-2"/>
              <c:y val="0.3233539220771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08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5-42C9-957F-035879349392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'C'!$I$21:$I$999</c:f>
              <c:numCache>
                <c:formatCode>General</c:formatCode>
                <c:ptCount val="979"/>
                <c:pt idx="1">
                  <c:v>8.292899998195935E-3</c:v>
                </c:pt>
                <c:pt idx="2">
                  <c:v>3.2285600027535111E-3</c:v>
                </c:pt>
                <c:pt idx="3">
                  <c:v>7.2016250051092356E-3</c:v>
                </c:pt>
                <c:pt idx="4">
                  <c:v>1.437586999963969E-2</c:v>
                </c:pt>
                <c:pt idx="5">
                  <c:v>3.4915750075015239E-3</c:v>
                </c:pt>
                <c:pt idx="9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E5-42C9-957F-035879349392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'C'!$J$21:$J$999</c:f>
              <c:numCache>
                <c:formatCode>General</c:formatCode>
                <c:ptCount val="979"/>
                <c:pt idx="6">
                  <c:v>1.6071620004368015E-2</c:v>
                </c:pt>
                <c:pt idx="7">
                  <c:v>1.5117750001081731E-2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E5-42C9-957F-035879349392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'C'!$K$21:$K$999</c:f>
              <c:numCache>
                <c:formatCode>General</c:formatCode>
                <c:ptCount val="979"/>
                <c:pt idx="10">
                  <c:v>7.3036765010328963E-2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E5-42C9-957F-035879349392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E5-42C9-957F-035879349392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E5-42C9-957F-035879349392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'C'!$N$21:$N$999</c:f>
              <c:numCache>
                <c:formatCode>General</c:formatCode>
                <c:ptCount val="979"/>
                <c:pt idx="8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E5-42C9-957F-035879349392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'C'!$O$21:$O$999</c:f>
              <c:numCache>
                <c:formatCode>General</c:formatCode>
                <c:ptCount val="979"/>
                <c:pt idx="0">
                  <c:v>-9.9149035228240812E-2</c:v>
                </c:pt>
                <c:pt idx="1">
                  <c:v>8.0351608589281642E-3</c:v>
                </c:pt>
                <c:pt idx="2">
                  <c:v>8.0417305307692449E-3</c:v>
                </c:pt>
                <c:pt idx="3">
                  <c:v>8.0597971283321995E-3</c:v>
                </c:pt>
                <c:pt idx="4">
                  <c:v>1.0528351322616827E-2</c:v>
                </c:pt>
                <c:pt idx="5">
                  <c:v>1.0572696607544105E-2</c:v>
                </c:pt>
                <c:pt idx="6">
                  <c:v>1.0610472220630301E-2</c:v>
                </c:pt>
                <c:pt idx="7">
                  <c:v>1.0646605415756225E-2</c:v>
                </c:pt>
                <c:pt idx="8">
                  <c:v>2.1506272969056273E-2</c:v>
                </c:pt>
                <c:pt idx="9">
                  <c:v>2.1506272969056273E-2</c:v>
                </c:pt>
                <c:pt idx="10">
                  <c:v>2.3689046438254049E-2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E5-42C9-957F-035879349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664640"/>
        <c:axId val="1"/>
      </c:scatterChart>
      <c:valAx>
        <c:axId val="744664640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66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01147816942914"/>
          <c:y val="0.91925596256989606"/>
          <c:w val="0.9418425281654009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552450</xdr:colOff>
      <xdr:row>18</xdr:row>
      <xdr:rowOff>66674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F1FFF675-7EB5-2E30-C1EC-2FE548605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266700</xdr:colOff>
      <xdr:row>0</xdr:row>
      <xdr:rowOff>9526</xdr:rowOff>
    </xdr:from>
    <xdr:to>
      <xdr:col>26</xdr:col>
      <xdr:colOff>666750</xdr:colOff>
      <xdr:row>18</xdr:row>
      <xdr:rowOff>38100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183F5D09-394E-19B7-3D93-3D1B8DBFA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CC5756-98F5-515E-F051-62EF26ABB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A76C858-7839-4A4E-71E6-45372B1C4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219075</xdr:rowOff>
    </xdr:from>
    <xdr:to>
      <xdr:col>24</xdr:col>
      <xdr:colOff>295275</xdr:colOff>
      <xdr:row>19</xdr:row>
      <xdr:rowOff>76200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3AB61C5-9314-C356-20F7-AE1213330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19050</xdr:rowOff>
    </xdr:from>
    <xdr:to>
      <xdr:col>14</xdr:col>
      <xdr:colOff>514350</xdr:colOff>
      <xdr:row>18</xdr:row>
      <xdr:rowOff>57150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EF421AE1-45AB-88D8-B0D1-15CB7CAD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219075</xdr:rowOff>
    </xdr:from>
    <xdr:to>
      <xdr:col>24</xdr:col>
      <xdr:colOff>295275</xdr:colOff>
      <xdr:row>19</xdr:row>
      <xdr:rowOff>76200</xdr:rowOff>
    </xdr:to>
    <xdr:graphicFrame macro="">
      <xdr:nvGraphicFramePr>
        <xdr:cNvPr id="54277" name="Chart 2">
          <a:extLst>
            <a:ext uri="{FF2B5EF4-FFF2-40B4-BE49-F238E27FC236}">
              <a16:creationId xmlns:a16="http://schemas.microsoft.com/office/drawing/2014/main" id="{F19E4189-9626-EC3A-512E-C91F66222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133350</xdr:colOff>
      <xdr:row>20</xdr:row>
      <xdr:rowOff>76200</xdr:rowOff>
    </xdr:from>
    <xdr:to>
      <xdr:col>25</xdr:col>
      <xdr:colOff>190500</xdr:colOff>
      <xdr:row>40</xdr:row>
      <xdr:rowOff>19050</xdr:rowOff>
    </xdr:to>
    <xdr:graphicFrame macro="">
      <xdr:nvGraphicFramePr>
        <xdr:cNvPr id="54278" name="Chart 3">
          <a:extLst>
            <a:ext uri="{FF2B5EF4-FFF2-40B4-BE49-F238E27FC236}">
              <a16:creationId xmlns:a16="http://schemas.microsoft.com/office/drawing/2014/main" id="{DA2ED267-9FA5-FAE1-0244-D595E0A12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0A03E170-DAEB-D6C6-D6D3-A3D924871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AA0F6681-50FD-EC74-52D1-31FEF30B3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929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bav-astro.de/sfs/BAVM_link.php?BAVMnr=102" TargetMode="External"/><Relationship Id="rId7" Type="http://schemas.openxmlformats.org/officeDocument/2006/relationships/hyperlink" Target="http://www.konkoly.hu/cgi-bin/IBVS?5493" TargetMode="External"/><Relationship Id="rId12" Type="http://schemas.openxmlformats.org/officeDocument/2006/relationships/hyperlink" Target="http://vsolj.cetus-net.org/no46.pdf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konkoly.hu/cgi-bin/IBVS?5378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50</v>
      </c>
    </row>
    <row r="2" spans="1:18" x14ac:dyDescent="0.2">
      <c r="A2" t="s">
        <v>25</v>
      </c>
      <c r="B2" t="s">
        <v>31</v>
      </c>
      <c r="C2" t="s">
        <v>30</v>
      </c>
    </row>
    <row r="3" spans="1:18" ht="13.5" thickBot="1" x14ac:dyDescent="0.25"/>
    <row r="4" spans="1:18" ht="14.25" thickTop="1" thickBot="1" x14ac:dyDescent="0.25">
      <c r="A4" s="8" t="s">
        <v>0</v>
      </c>
      <c r="C4" s="11">
        <v>33294.42</v>
      </c>
      <c r="D4" s="12">
        <v>0.52553559679999995</v>
      </c>
    </row>
    <row r="5" spans="1:18" ht="13.5" thickTop="1" x14ac:dyDescent="0.2">
      <c r="A5" s="44" t="s">
        <v>55</v>
      </c>
      <c r="B5" s="40"/>
      <c r="C5" s="45">
        <v>-9.5</v>
      </c>
      <c r="D5" s="40" t="s">
        <v>56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 s="41">
        <v>0.52552935000000001</v>
      </c>
      <c r="D8" s="29"/>
    </row>
    <row r="9" spans="1:18" x14ac:dyDescent="0.2">
      <c r="A9" s="60" t="s">
        <v>61</v>
      </c>
      <c r="B9" s="61">
        <v>35</v>
      </c>
      <c r="C9" s="59" t="str">
        <f>"F"&amp;B9</f>
        <v>F35</v>
      </c>
      <c r="D9" s="28" t="str">
        <f>"G"&amp;B9</f>
        <v>G35</v>
      </c>
    </row>
    <row r="10" spans="1:18" ht="13.5" thickBot="1" x14ac:dyDescent="0.25">
      <c r="A10" s="40"/>
      <c r="B10" s="40"/>
      <c r="C10" s="7" t="s">
        <v>20</v>
      </c>
      <c r="D10" s="7" t="s">
        <v>21</v>
      </c>
      <c r="E10" s="40"/>
    </row>
    <row r="11" spans="1:18" x14ac:dyDescent="0.2">
      <c r="A11" s="40" t="s">
        <v>16</v>
      </c>
      <c r="B11" s="40"/>
      <c r="C11" s="58">
        <f ca="1">INTERCEPT(INDIRECT($D$9):G992,INDIRECT($C$9):F992)</f>
        <v>8.7625911157266534E-2</v>
      </c>
      <c r="D11" s="6"/>
      <c r="E11" s="40"/>
    </row>
    <row r="12" spans="1:18" x14ac:dyDescent="0.2">
      <c r="A12" s="40" t="s">
        <v>17</v>
      </c>
      <c r="B12" s="40"/>
      <c r="C12" s="58">
        <f ca="1">SLOPE(INDIRECT($D$9):G992,INDIRECT($C$9):F992)</f>
        <v>1.0374935767573718E-6</v>
      </c>
      <c r="D12" s="6"/>
      <c r="E12" s="40"/>
    </row>
    <row r="13" spans="1:18" x14ac:dyDescent="0.2">
      <c r="A13" s="40" t="s">
        <v>19</v>
      </c>
      <c r="B13" s="40"/>
      <c r="C13" s="6" t="s">
        <v>14</v>
      </c>
    </row>
    <row r="14" spans="1:18" x14ac:dyDescent="0.2">
      <c r="A14" s="40"/>
      <c r="B14" s="40"/>
      <c r="C14" s="40"/>
    </row>
    <row r="15" spans="1:18" x14ac:dyDescent="0.2">
      <c r="A15" s="46" t="s">
        <v>18</v>
      </c>
      <c r="B15" s="40"/>
      <c r="C15" s="35">
        <f ca="1">(C7+C11)+(C8+C12)*INT(MAX(F21:F3533))</f>
        <v>56273.849349455289</v>
      </c>
      <c r="E15" s="47" t="s">
        <v>62</v>
      </c>
      <c r="F15" s="45">
        <v>1</v>
      </c>
      <c r="Q15" t="s">
        <v>24</v>
      </c>
      <c r="R15">
        <f ca="1">SUM(R21:R266)</f>
        <v>0.14516160354875426</v>
      </c>
    </row>
    <row r="16" spans="1:18" x14ac:dyDescent="0.2">
      <c r="A16" s="49" t="s">
        <v>4</v>
      </c>
      <c r="B16" s="40"/>
      <c r="C16" s="36">
        <f ca="1">+C8+C12</f>
        <v>0.52553038749357672</v>
      </c>
      <c r="E16" s="47" t="s">
        <v>57</v>
      </c>
      <c r="F16" s="48">
        <f ca="1">NOW()+15018.5+$C$5/24</f>
        <v>60315.797279976847</v>
      </c>
      <c r="Q16" t="s">
        <v>47</v>
      </c>
      <c r="R16">
        <f ca="1">COUNT(R21:R428)</f>
        <v>28</v>
      </c>
    </row>
    <row r="17" spans="1:21" ht="13.5" thickBot="1" x14ac:dyDescent="0.25">
      <c r="A17" s="47" t="s">
        <v>54</v>
      </c>
      <c r="B17" s="40"/>
      <c r="C17" s="40">
        <f>COUNT(C21:C2191)</f>
        <v>29</v>
      </c>
      <c r="E17" s="47" t="s">
        <v>63</v>
      </c>
      <c r="F17" s="48">
        <f ca="1">ROUND(2*(F16-$C$7)/$C$8,0)/2+F15</f>
        <v>51418.5</v>
      </c>
      <c r="Q17" t="s">
        <v>48</v>
      </c>
      <c r="R17">
        <f ca="1">SQRT(R15/(R16-1))</f>
        <v>7.3323636618698187E-2</v>
      </c>
    </row>
    <row r="18" spans="1:21" ht="14.25" thickTop="1" thickBot="1" x14ac:dyDescent="0.25">
      <c r="A18" s="49" t="s">
        <v>5</v>
      </c>
      <c r="B18" s="40"/>
      <c r="C18" s="51">
        <f ca="1">+C15</f>
        <v>56273.849349455289</v>
      </c>
      <c r="D18" s="52">
        <f ca="1">+C16</f>
        <v>0.52553038749357672</v>
      </c>
      <c r="E18" s="47" t="s">
        <v>58</v>
      </c>
      <c r="F18" s="28">
        <f ca="1">ROUND(2*(F16-$C$15)/$C$16,0)/2+F15</f>
        <v>7692</v>
      </c>
    </row>
    <row r="19" spans="1:21" ht="13.5" thickTop="1" x14ac:dyDescent="0.2">
      <c r="E19" s="47" t="s">
        <v>59</v>
      </c>
      <c r="F19" s="50">
        <f ca="1">+$C$15+$C$16*F18-15018.5-$C$5/24</f>
        <v>45298.124923389216</v>
      </c>
    </row>
    <row r="20" spans="1:21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34" t="s">
        <v>49</v>
      </c>
      <c r="U20" s="90" t="s">
        <v>194</v>
      </c>
    </row>
    <row r="21" spans="1:21" x14ac:dyDescent="0.2">
      <c r="A21" s="85" t="s">
        <v>85</v>
      </c>
      <c r="B21" s="88" t="s">
        <v>39</v>
      </c>
      <c r="C21" s="86">
        <v>29691.383000000002</v>
      </c>
      <c r="D21" s="63"/>
      <c r="E21">
        <f t="shared" ref="E21:E49" si="0">+(C21-C$7)/C$8</f>
        <v>-6856.0147972705927</v>
      </c>
      <c r="F21" s="68">
        <f t="shared" ref="F21:F42" si="1">ROUND(2*E21,0)/2</f>
        <v>-6856</v>
      </c>
      <c r="G21">
        <f>+C21-(C$7+F21*C$8)</f>
        <v>-7.7763999979651999E-3</v>
      </c>
      <c r="L21" s="22">
        <f>G21</f>
        <v>-7.7763999979651999E-3</v>
      </c>
      <c r="O21">
        <f t="shared" ref="O21:O49" ca="1" si="2">+C$11+C$12*$F21</f>
        <v>8.0512855195017996E-2</v>
      </c>
      <c r="Q21" s="2">
        <f t="shared" ref="Q21:Q49" si="3">+C21-15018.5</f>
        <v>14672.883000000002</v>
      </c>
      <c r="R21">
        <f ca="1">+(O21-G21)^2</f>
        <v>7.7949925825317101E-3</v>
      </c>
    </row>
    <row r="22" spans="1:21" x14ac:dyDescent="0.2">
      <c r="A22" s="85" t="s">
        <v>85</v>
      </c>
      <c r="B22" s="88" t="s">
        <v>39</v>
      </c>
      <c r="C22" s="85">
        <v>31843.423999999999</v>
      </c>
      <c r="D22" s="63"/>
      <c r="E22">
        <f t="shared" si="0"/>
        <v>-2761.018009745791</v>
      </c>
      <c r="F22" s="68">
        <f t="shared" si="1"/>
        <v>-2761</v>
      </c>
      <c r="G22">
        <f>+C22-(C$7+F22*C$8)</f>
        <v>-9.4646500001545064E-3</v>
      </c>
      <c r="L22" s="22">
        <f>G22</f>
        <v>-9.4646500001545064E-3</v>
      </c>
      <c r="O22">
        <f t="shared" ca="1" si="2"/>
        <v>8.4761391391839427E-2</v>
      </c>
      <c r="Q22" s="2">
        <f t="shared" si="3"/>
        <v>16824.923999999999</v>
      </c>
      <c r="R22">
        <f ca="1">+(O22-G22)^2</f>
        <v>8.8785468764057546E-3</v>
      </c>
    </row>
    <row r="23" spans="1:21" x14ac:dyDescent="0.2">
      <c r="A23" s="85" t="s">
        <v>85</v>
      </c>
      <c r="B23" s="88" t="s">
        <v>39</v>
      </c>
      <c r="C23" s="85">
        <v>33005.368999999999</v>
      </c>
      <c r="D23" s="63"/>
      <c r="E23">
        <f t="shared" si="0"/>
        <v>-550.01875727777997</v>
      </c>
      <c r="F23" s="68">
        <f t="shared" si="1"/>
        <v>-550</v>
      </c>
      <c r="G23">
        <f>+C23-(C$7+F23*C$8)</f>
        <v>-9.8575000010896474E-3</v>
      </c>
      <c r="L23" s="22">
        <f>G23</f>
        <v>-9.8575000010896474E-3</v>
      </c>
      <c r="O23">
        <f t="shared" ca="1" si="2"/>
        <v>8.7055289690049983E-2</v>
      </c>
      <c r="Q23" s="2">
        <f t="shared" si="3"/>
        <v>17986.868999999999</v>
      </c>
      <c r="R23">
        <f ca="1">+(O23-G23)^2</f>
        <v>9.3920888057190607E-3</v>
      </c>
    </row>
    <row r="24" spans="1:21" x14ac:dyDescent="0.2">
      <c r="A24" s="22" t="s">
        <v>12</v>
      </c>
      <c r="C24" s="18">
        <v>33294.42</v>
      </c>
      <c r="D24" s="13"/>
      <c r="E24">
        <f t="shared" si="0"/>
        <v>0</v>
      </c>
      <c r="F24">
        <f t="shared" si="1"/>
        <v>0</v>
      </c>
      <c r="H24">
        <v>0</v>
      </c>
      <c r="O24">
        <f t="shared" ca="1" si="2"/>
        <v>8.7625911157266534E-2</v>
      </c>
      <c r="Q24" s="2">
        <f t="shared" si="3"/>
        <v>18275.919999999998</v>
      </c>
    </row>
    <row r="25" spans="1:21" x14ac:dyDescent="0.2">
      <c r="A25" s="87" t="s">
        <v>85</v>
      </c>
      <c r="B25" s="89" t="s">
        <v>39</v>
      </c>
      <c r="C25" s="87">
        <v>34445.319000000003</v>
      </c>
      <c r="D25" s="6"/>
      <c r="E25">
        <f t="shared" si="0"/>
        <v>2189.9804454308878</v>
      </c>
      <c r="F25" s="68">
        <f t="shared" si="1"/>
        <v>2190</v>
      </c>
      <c r="G25">
        <f t="shared" ref="G25:G36" si="4">+C25-(C$7+F25*C$8)</f>
        <v>-1.0276499997416977E-2</v>
      </c>
      <c r="L25" s="22">
        <f>G25</f>
        <v>-1.0276499997416977E-2</v>
      </c>
      <c r="O25">
        <f t="shared" ca="1" si="2"/>
        <v>8.9898022090365182E-2</v>
      </c>
      <c r="Q25" s="2">
        <f t="shared" si="3"/>
        <v>19426.819000000003</v>
      </c>
      <c r="R25">
        <f t="shared" ref="R25:R46" ca="1" si="5">+(O25-G25)^2</f>
        <v>1.0034934875515555E-2</v>
      </c>
    </row>
    <row r="26" spans="1:21" x14ac:dyDescent="0.2">
      <c r="A26" s="87" t="s">
        <v>85</v>
      </c>
      <c r="B26" s="89" t="s">
        <v>39</v>
      </c>
      <c r="C26" s="87">
        <v>35186.313999999998</v>
      </c>
      <c r="D26" s="6"/>
      <c r="E26">
        <f t="shared" si="0"/>
        <v>3599.9778128471803</v>
      </c>
      <c r="F26" s="68">
        <f t="shared" si="1"/>
        <v>3600</v>
      </c>
      <c r="G26">
        <f t="shared" si="4"/>
        <v>-1.1659999996481929E-2</v>
      </c>
      <c r="L26" s="22">
        <f>G26</f>
        <v>-1.1659999996481929E-2</v>
      </c>
      <c r="O26">
        <f t="shared" ca="1" si="2"/>
        <v>9.1360888033593074E-2</v>
      </c>
      <c r="Q26" s="2">
        <f t="shared" si="3"/>
        <v>20167.813999999998</v>
      </c>
      <c r="R26">
        <f t="shared" ca="1" si="5"/>
        <v>1.0613303370505251E-2</v>
      </c>
    </row>
    <row r="27" spans="1:21" x14ac:dyDescent="0.2">
      <c r="A27" s="87" t="s">
        <v>85</v>
      </c>
      <c r="B27" s="89" t="s">
        <v>39</v>
      </c>
      <c r="C27" s="87">
        <v>36979.419000000002</v>
      </c>
      <c r="D27" s="6"/>
      <c r="E27">
        <f t="shared" si="0"/>
        <v>7011.9756394195747</v>
      </c>
      <c r="F27" s="68">
        <f t="shared" si="1"/>
        <v>7012</v>
      </c>
      <c r="G27">
        <f t="shared" si="4"/>
        <v>-1.2802199998986907E-2</v>
      </c>
      <c r="L27" s="22">
        <f>G27</f>
        <v>-1.2802199998986907E-2</v>
      </c>
      <c r="O27">
        <f t="shared" ca="1" si="2"/>
        <v>9.4900816117489226E-2</v>
      </c>
      <c r="Q27" s="2">
        <f t="shared" si="3"/>
        <v>21960.919000000002</v>
      </c>
      <c r="R27">
        <f t="shared" ca="1" si="5"/>
        <v>1.1599939680585918E-2</v>
      </c>
    </row>
    <row r="28" spans="1:21" x14ac:dyDescent="0.2">
      <c r="A28" s="23" t="s">
        <v>32</v>
      </c>
      <c r="B28" s="15"/>
      <c r="C28" s="19">
        <v>50442.542999999998</v>
      </c>
      <c r="D28" s="19">
        <v>5.4000000000000003E-3</v>
      </c>
      <c r="E28">
        <f t="shared" si="0"/>
        <v>32630.190873259504</v>
      </c>
      <c r="F28">
        <f t="shared" si="1"/>
        <v>32630</v>
      </c>
      <c r="G28">
        <f t="shared" si="4"/>
        <v>0.10030949999782024</v>
      </c>
      <c r="I28">
        <f>+G28</f>
        <v>0.10030949999782024</v>
      </c>
      <c r="O28">
        <f t="shared" ca="1" si="2"/>
        <v>0.12147932656685957</v>
      </c>
      <c r="Q28" s="2">
        <f t="shared" si="3"/>
        <v>35424.042999999998</v>
      </c>
      <c r="R28">
        <f t="shared" ca="1" si="5"/>
        <v>4.4816155696320362E-4</v>
      </c>
    </row>
    <row r="29" spans="1:21" x14ac:dyDescent="0.2">
      <c r="A29" s="23" t="s">
        <v>32</v>
      </c>
      <c r="B29" s="15"/>
      <c r="C29" s="19">
        <v>50443.589</v>
      </c>
      <c r="D29" s="19">
        <v>1.6999999999999999E-3</v>
      </c>
      <c r="E29">
        <f t="shared" si="0"/>
        <v>32632.181247346132</v>
      </c>
      <c r="F29">
        <f t="shared" si="1"/>
        <v>32632</v>
      </c>
      <c r="G29">
        <f t="shared" si="4"/>
        <v>9.5250799997302238E-2</v>
      </c>
      <c r="I29">
        <f>+G29</f>
        <v>9.5250799997302238E-2</v>
      </c>
      <c r="O29">
        <f t="shared" ca="1" si="2"/>
        <v>0.12148140155401309</v>
      </c>
      <c r="Q29" s="2">
        <f t="shared" si="3"/>
        <v>35425.089</v>
      </c>
      <c r="R29">
        <f t="shared" ca="1" si="5"/>
        <v>6.8804445802692169E-4</v>
      </c>
    </row>
    <row r="30" spans="1:21" x14ac:dyDescent="0.2">
      <c r="A30" s="23" t="s">
        <v>32</v>
      </c>
      <c r="B30" s="15" t="s">
        <v>37</v>
      </c>
      <c r="C30" s="19">
        <v>50446.483399999997</v>
      </c>
      <c r="D30" s="19">
        <v>2.8999999999999998E-3</v>
      </c>
      <c r="E30">
        <f t="shared" si="0"/>
        <v>32637.688836979323</v>
      </c>
      <c r="F30">
        <f t="shared" si="1"/>
        <v>32637.5</v>
      </c>
      <c r="G30">
        <f t="shared" si="4"/>
        <v>9.923937499843305E-2</v>
      </c>
      <c r="I30">
        <f>+G30</f>
        <v>9.923937499843305E-2</v>
      </c>
      <c r="O30">
        <f t="shared" ca="1" si="2"/>
        <v>0.12148710776868527</v>
      </c>
      <c r="Q30" s="2">
        <f t="shared" si="3"/>
        <v>35427.983399999997</v>
      </c>
      <c r="R30">
        <f t="shared" ca="1" si="5"/>
        <v>4.9496161341655435E-4</v>
      </c>
    </row>
    <row r="31" spans="1:21" x14ac:dyDescent="0.2">
      <c r="A31" s="24" t="s">
        <v>33</v>
      </c>
      <c r="B31" s="15"/>
      <c r="C31" s="20">
        <v>50841.428</v>
      </c>
      <c r="D31" s="20">
        <v>6.4000000000000003E-3</v>
      </c>
      <c r="E31">
        <f t="shared" si="0"/>
        <v>33389.206521005915</v>
      </c>
      <c r="F31">
        <f t="shared" si="1"/>
        <v>33389</v>
      </c>
      <c r="G31">
        <f t="shared" si="4"/>
        <v>0.10853285000484902</v>
      </c>
      <c r="I31">
        <f>+G31</f>
        <v>0.10853285000484902</v>
      </c>
      <c r="O31">
        <f t="shared" ca="1" si="2"/>
        <v>0.12226678419161842</v>
      </c>
      <c r="Q31" s="2">
        <f t="shared" si="3"/>
        <v>35822.928</v>
      </c>
      <c r="R31">
        <f t="shared" ca="1" si="5"/>
        <v>1.8862094824651312E-4</v>
      </c>
    </row>
    <row r="32" spans="1:21" x14ac:dyDescent="0.2">
      <c r="A32" s="24" t="s">
        <v>33</v>
      </c>
      <c r="B32" s="16" t="s">
        <v>37</v>
      </c>
      <c r="C32" s="20">
        <v>50848.5118</v>
      </c>
      <c r="D32" s="20">
        <v>8.0000000000000004E-4</v>
      </c>
      <c r="E32">
        <f t="shared" si="0"/>
        <v>33402.6858823394</v>
      </c>
      <c r="F32">
        <f t="shared" si="1"/>
        <v>33402.5</v>
      </c>
      <c r="G32">
        <f t="shared" si="4"/>
        <v>9.768662500573555E-2</v>
      </c>
      <c r="I32">
        <f>+G32</f>
        <v>9.768662500573555E-2</v>
      </c>
      <c r="O32">
        <f t="shared" ca="1" si="2"/>
        <v>0.12228079035490465</v>
      </c>
      <c r="Q32" s="2">
        <f t="shared" si="3"/>
        <v>35830.0118</v>
      </c>
      <c r="R32">
        <f t="shared" ca="1" si="5"/>
        <v>6.0487296922226994E-4</v>
      </c>
    </row>
    <row r="33" spans="1:21" x14ac:dyDescent="0.2">
      <c r="A33" s="22" t="s">
        <v>34</v>
      </c>
      <c r="C33" s="18">
        <v>50854.567999999999</v>
      </c>
      <c r="D33" s="18">
        <v>3.0000000000000001E-3</v>
      </c>
      <c r="E33">
        <f t="shared" si="0"/>
        <v>33414.209881902883</v>
      </c>
      <c r="F33">
        <f t="shared" si="1"/>
        <v>33414</v>
      </c>
      <c r="G33">
        <f t="shared" si="4"/>
        <v>0.11029910000070231</v>
      </c>
      <c r="J33">
        <f>+G33</f>
        <v>0.11029910000070231</v>
      </c>
      <c r="O33">
        <f t="shared" ca="1" si="2"/>
        <v>0.12229272153103735</v>
      </c>
      <c r="Q33" s="2">
        <f t="shared" si="3"/>
        <v>35836.067999999999</v>
      </c>
      <c r="R33">
        <f t="shared" ca="1" si="5"/>
        <v>1.4384695741291614E-4</v>
      </c>
    </row>
    <row r="34" spans="1:21" x14ac:dyDescent="0.2">
      <c r="A34" s="22" t="s">
        <v>34</v>
      </c>
      <c r="C34" s="18">
        <v>50860.347900000001</v>
      </c>
      <c r="D34" s="18">
        <v>6.9999999999999999E-4</v>
      </c>
      <c r="E34">
        <f t="shared" si="0"/>
        <v>33425.208125863952</v>
      </c>
      <c r="F34">
        <f t="shared" si="1"/>
        <v>33425</v>
      </c>
      <c r="G34">
        <f t="shared" si="4"/>
        <v>0.10937625000224216</v>
      </c>
      <c r="J34">
        <f>+G34</f>
        <v>0.10937625000224216</v>
      </c>
      <c r="O34">
        <f t="shared" ca="1" si="2"/>
        <v>0.12230413396038169</v>
      </c>
      <c r="Q34" s="2">
        <f t="shared" si="3"/>
        <v>35841.847900000001</v>
      </c>
      <c r="R34">
        <f t="shared" ca="1" si="5"/>
        <v>1.6713018363512133E-4</v>
      </c>
    </row>
    <row r="35" spans="1:21" x14ac:dyDescent="0.2">
      <c r="A35" s="25" t="s">
        <v>35</v>
      </c>
      <c r="C35" s="21">
        <v>52597.762999999999</v>
      </c>
      <c r="D35" s="21">
        <v>4.0000000000000002E-4</v>
      </c>
      <c r="E35">
        <f t="shared" si="0"/>
        <v>36731.236799619277</v>
      </c>
      <c r="F35">
        <f t="shared" si="1"/>
        <v>36731</v>
      </c>
      <c r="G35">
        <f t="shared" si="4"/>
        <v>0.12444515000242973</v>
      </c>
      <c r="N35">
        <f>+G35</f>
        <v>0.12444515000242973</v>
      </c>
      <c r="O35">
        <f t="shared" ca="1" si="2"/>
        <v>0.12573408772514155</v>
      </c>
      <c r="Q35" s="2">
        <f t="shared" si="3"/>
        <v>37579.262999999999</v>
      </c>
      <c r="R35">
        <f t="shared" ca="1" si="5"/>
        <v>1.661360453029545E-6</v>
      </c>
    </row>
    <row r="36" spans="1:21" x14ac:dyDescent="0.2">
      <c r="A36" s="24" t="s">
        <v>38</v>
      </c>
      <c r="B36" s="15" t="s">
        <v>39</v>
      </c>
      <c r="C36" s="19">
        <v>52597.762999999999</v>
      </c>
      <c r="D36" s="57">
        <v>4.0000000000000002E-4</v>
      </c>
      <c r="E36">
        <f t="shared" si="0"/>
        <v>36731.236799619277</v>
      </c>
      <c r="F36">
        <f t="shared" si="1"/>
        <v>36731</v>
      </c>
      <c r="G36">
        <f t="shared" si="4"/>
        <v>0.12444515000242973</v>
      </c>
      <c r="I36">
        <f>+G36</f>
        <v>0.12444515000242973</v>
      </c>
      <c r="O36">
        <f t="shared" ca="1" si="2"/>
        <v>0.12573408772514155</v>
      </c>
      <c r="Q36" s="2">
        <f t="shared" si="3"/>
        <v>37579.262999999999</v>
      </c>
      <c r="R36">
        <f t="shared" ca="1" si="5"/>
        <v>1.661360453029545E-6</v>
      </c>
    </row>
    <row r="37" spans="1:21" x14ac:dyDescent="0.2">
      <c r="A37" s="26" t="s">
        <v>36</v>
      </c>
      <c r="B37" s="39" t="s">
        <v>52</v>
      </c>
      <c r="C37" s="42">
        <v>52947.031300000002</v>
      </c>
      <c r="D37" s="18">
        <v>1E-4</v>
      </c>
      <c r="E37">
        <f t="shared" si="0"/>
        <v>37395.83964244814</v>
      </c>
      <c r="F37">
        <f t="shared" si="1"/>
        <v>37396</v>
      </c>
      <c r="O37">
        <f t="shared" ca="1" si="2"/>
        <v>0.12642402095368521</v>
      </c>
      <c r="Q37" s="2">
        <f t="shared" si="3"/>
        <v>37928.531300000002</v>
      </c>
      <c r="R37">
        <f t="shared" ca="1" si="5"/>
        <v>1.5983033074097836E-2</v>
      </c>
      <c r="U37" s="28">
        <v>-8.4272599997348152E-2</v>
      </c>
    </row>
    <row r="38" spans="1:21" x14ac:dyDescent="0.2">
      <c r="A38" s="37" t="s">
        <v>51</v>
      </c>
      <c r="C38" s="43">
        <v>53354.527399999999</v>
      </c>
      <c r="D38" s="18">
        <v>1E-4</v>
      </c>
      <c r="E38">
        <f t="shared" si="0"/>
        <v>38171.240864092557</v>
      </c>
      <c r="F38">
        <f t="shared" si="1"/>
        <v>38171</v>
      </c>
      <c r="G38">
        <f t="shared" ref="G38:G46" si="6">+C38-(C$7+F38*C$8)</f>
        <v>0.12658114999794634</v>
      </c>
      <c r="I38" s="22">
        <f>G38</f>
        <v>0.12658114999794634</v>
      </c>
      <c r="O38">
        <f t="shared" ca="1" si="2"/>
        <v>0.12722807847567216</v>
      </c>
      <c r="Q38" s="2">
        <f t="shared" si="3"/>
        <v>38336.027399999999</v>
      </c>
      <c r="R38">
        <f t="shared" ca="1" si="5"/>
        <v>4.1851645529264959E-7</v>
      </c>
    </row>
    <row r="39" spans="1:21" x14ac:dyDescent="0.2">
      <c r="A39" s="40" t="s">
        <v>53</v>
      </c>
      <c r="B39" s="6" t="s">
        <v>37</v>
      </c>
      <c r="C39" s="18">
        <v>53763.392</v>
      </c>
      <c r="D39" s="18">
        <v>5.0000000000000001E-4</v>
      </c>
      <c r="E39">
        <f t="shared" si="0"/>
        <v>38949.24612678626</v>
      </c>
      <c r="F39">
        <f t="shared" si="1"/>
        <v>38949</v>
      </c>
      <c r="G39">
        <f t="shared" si="6"/>
        <v>0.12934685000072932</v>
      </c>
      <c r="I39" s="22">
        <f>G39</f>
        <v>0.12934685000072932</v>
      </c>
      <c r="O39">
        <f t="shared" ca="1" si="2"/>
        <v>0.1280352484783894</v>
      </c>
      <c r="Q39" s="2">
        <f t="shared" si="3"/>
        <v>38744.892</v>
      </c>
      <c r="R39">
        <f t="shared" ca="1" si="5"/>
        <v>1.7202985534043875E-6</v>
      </c>
    </row>
    <row r="40" spans="1:21" x14ac:dyDescent="0.2">
      <c r="A40" s="43" t="s">
        <v>60</v>
      </c>
      <c r="B40" s="53"/>
      <c r="C40" s="54">
        <v>54026.684000000001</v>
      </c>
      <c r="D40" s="18">
        <v>1E-3</v>
      </c>
      <c r="E40">
        <f t="shared" si="0"/>
        <v>39450.249543626829</v>
      </c>
      <c r="F40">
        <f t="shared" si="1"/>
        <v>39450</v>
      </c>
      <c r="G40">
        <f t="shared" si="6"/>
        <v>0.13114250000216998</v>
      </c>
      <c r="I40" s="22">
        <f>G40</f>
        <v>0.13114250000216998</v>
      </c>
      <c r="O40">
        <f t="shared" ca="1" si="2"/>
        <v>0.12855503276034486</v>
      </c>
      <c r="Q40" s="2">
        <f t="shared" si="3"/>
        <v>39008.184000000001</v>
      </c>
      <c r="R40">
        <f t="shared" ca="1" si="5"/>
        <v>6.6949867275181225E-6</v>
      </c>
    </row>
    <row r="41" spans="1:21" x14ac:dyDescent="0.2">
      <c r="A41" s="43" t="s">
        <v>60</v>
      </c>
      <c r="B41" s="53"/>
      <c r="C41" s="54">
        <v>54085.5429</v>
      </c>
      <c r="D41" s="18">
        <v>2.9999999999999997E-4</v>
      </c>
      <c r="E41">
        <f t="shared" si="0"/>
        <v>39562.248806845899</v>
      </c>
      <c r="F41">
        <f t="shared" si="1"/>
        <v>39562</v>
      </c>
      <c r="G41">
        <f t="shared" si="6"/>
        <v>0.13075530000060098</v>
      </c>
      <c r="I41" s="22">
        <f>G41</f>
        <v>0.13075530000060098</v>
      </c>
      <c r="O41">
        <f t="shared" ca="1" si="2"/>
        <v>0.12867123204094166</v>
      </c>
      <c r="Q41" s="2">
        <f t="shared" si="3"/>
        <v>39067.0429</v>
      </c>
      <c r="R41">
        <f t="shared" ca="1" si="5"/>
        <v>4.3433392604785576E-6</v>
      </c>
    </row>
    <row r="42" spans="1:21" x14ac:dyDescent="0.2">
      <c r="A42" s="87" t="s">
        <v>163</v>
      </c>
      <c r="B42" s="89" t="s">
        <v>37</v>
      </c>
      <c r="C42" s="87">
        <v>54134.149899999997</v>
      </c>
      <c r="D42" s="6"/>
      <c r="E42">
        <f t="shared" si="0"/>
        <v>39654.740310888439</v>
      </c>
      <c r="F42" s="68">
        <f t="shared" si="1"/>
        <v>39654.5</v>
      </c>
      <c r="G42">
        <f t="shared" si="6"/>
        <v>0.12629042499611387</v>
      </c>
      <c r="L42" s="22">
        <f>G42</f>
        <v>0.12629042499611387</v>
      </c>
      <c r="O42">
        <f t="shared" ca="1" si="2"/>
        <v>0.12876720019679172</v>
      </c>
      <c r="Q42" s="2">
        <f t="shared" si="3"/>
        <v>39115.649899999997</v>
      </c>
      <c r="R42">
        <f t="shared" ca="1" si="5"/>
        <v>6.1344153946928033E-6</v>
      </c>
    </row>
    <row r="43" spans="1:21" x14ac:dyDescent="0.2">
      <c r="A43" s="31" t="s">
        <v>64</v>
      </c>
      <c r="B43" s="56"/>
      <c r="C43" s="55">
        <v>54875.677000000003</v>
      </c>
      <c r="D43" s="55">
        <v>2.9999999999999997E-4</v>
      </c>
      <c r="E43">
        <f t="shared" si="0"/>
        <v>41065.750181222051</v>
      </c>
      <c r="F43" s="62">
        <f>ROUND(2*E43,0)/2-0.5</f>
        <v>41065.5</v>
      </c>
      <c r="G43">
        <f t="shared" si="6"/>
        <v>0.13147757499973522</v>
      </c>
      <c r="K43" s="22">
        <f>G43</f>
        <v>0.13147757499973522</v>
      </c>
      <c r="O43">
        <f t="shared" ca="1" si="2"/>
        <v>0.13023110363359638</v>
      </c>
      <c r="Q43" s="2">
        <f t="shared" si="3"/>
        <v>39857.177000000003</v>
      </c>
      <c r="R43">
        <f t="shared" ca="1" si="5"/>
        <v>1.5536908666040272E-6</v>
      </c>
    </row>
    <row r="44" spans="1:21" x14ac:dyDescent="0.2">
      <c r="A44" s="64" t="s">
        <v>65</v>
      </c>
      <c r="B44" s="65" t="s">
        <v>39</v>
      </c>
      <c r="C44" s="64">
        <v>55607.741199999997</v>
      </c>
      <c r="D44" s="64">
        <v>2.9999999999999997E-4</v>
      </c>
      <c r="E44">
        <f t="shared" si="0"/>
        <v>42458.753635738896</v>
      </c>
      <c r="F44" s="62">
        <f>ROUND(2*E44,0)/2-0.5</f>
        <v>42458.5</v>
      </c>
      <c r="G44">
        <f t="shared" si="6"/>
        <v>0.13329302499914775</v>
      </c>
      <c r="I44" s="22">
        <f>G44</f>
        <v>0.13329302499914775</v>
      </c>
      <c r="O44">
        <f t="shared" ca="1" si="2"/>
        <v>0.1316763321860194</v>
      </c>
      <c r="Q44" s="2">
        <f t="shared" si="3"/>
        <v>40589.241199999997</v>
      </c>
      <c r="R44">
        <f t="shared" ca="1" si="5"/>
        <v>2.6136956520208429E-6</v>
      </c>
    </row>
    <row r="45" spans="1:21" x14ac:dyDescent="0.2">
      <c r="A45" s="64" t="s">
        <v>66</v>
      </c>
      <c r="B45" s="65" t="s">
        <v>39</v>
      </c>
      <c r="C45" s="64">
        <v>55625.345000000001</v>
      </c>
      <c r="D45" s="64">
        <v>2.0000000000000001E-4</v>
      </c>
      <c r="E45">
        <f t="shared" si="0"/>
        <v>42492.25090853632</v>
      </c>
      <c r="F45" s="62">
        <f>ROUND(2*E45,0)/2-0.5</f>
        <v>42492</v>
      </c>
      <c r="G45">
        <f t="shared" si="6"/>
        <v>0.13185980000707787</v>
      </c>
      <c r="I45" s="22">
        <f>G45</f>
        <v>0.13185980000707787</v>
      </c>
      <c r="O45">
        <f t="shared" ca="1" si="2"/>
        <v>0.13171108822084077</v>
      </c>
      <c r="Q45" s="2">
        <f t="shared" si="3"/>
        <v>40606.845000000001</v>
      </c>
      <c r="R45">
        <f t="shared" ca="1" si="5"/>
        <v>2.2115195365828632E-8</v>
      </c>
    </row>
    <row r="46" spans="1:21" x14ac:dyDescent="0.2">
      <c r="A46" s="64" t="s">
        <v>66</v>
      </c>
      <c r="B46" s="65" t="s">
        <v>39</v>
      </c>
      <c r="C46" s="64">
        <v>55635.330900000001</v>
      </c>
      <c r="D46" s="64">
        <v>5.0000000000000001E-3</v>
      </c>
      <c r="E46">
        <f t="shared" si="0"/>
        <v>42511.252511396371</v>
      </c>
      <c r="F46" s="62">
        <f>ROUND(2*E46,0)/2-0.5</f>
        <v>42511</v>
      </c>
      <c r="G46">
        <f t="shared" si="6"/>
        <v>0.13270215000375174</v>
      </c>
      <c r="I46" s="22">
        <f>G46</f>
        <v>0.13270215000375174</v>
      </c>
      <c r="O46">
        <f t="shared" ca="1" si="2"/>
        <v>0.13173080059879916</v>
      </c>
      <c r="Q46" s="2">
        <f t="shared" si="3"/>
        <v>40616.830900000001</v>
      </c>
      <c r="R46">
        <f t="shared" ca="1" si="5"/>
        <v>9.4351966650173459E-7</v>
      </c>
    </row>
    <row r="47" spans="1:21" x14ac:dyDescent="0.2">
      <c r="A47" s="87" t="s">
        <v>185</v>
      </c>
      <c r="B47" s="89" t="s">
        <v>37</v>
      </c>
      <c r="C47" s="87">
        <v>55941.453200000004</v>
      </c>
      <c r="D47" s="6"/>
      <c r="E47">
        <f t="shared" si="0"/>
        <v>43093.75527741696</v>
      </c>
      <c r="F47" s="68">
        <f>ROUND(2*E47,0)/2</f>
        <v>43094</v>
      </c>
      <c r="L47" s="22"/>
      <c r="O47">
        <f t="shared" ca="1" si="2"/>
        <v>0.13233565935404873</v>
      </c>
      <c r="Q47" s="2">
        <f t="shared" si="3"/>
        <v>40922.953200000004</v>
      </c>
      <c r="R47">
        <f ca="1">+(O47-U47)^2</f>
        <v>6.8092063051978541E-2</v>
      </c>
      <c r="U47">
        <f>+C47-(C$7+F47*C$8)</f>
        <v>-0.12860889999137726</v>
      </c>
    </row>
    <row r="48" spans="1:21" x14ac:dyDescent="0.2">
      <c r="A48" s="66" t="s">
        <v>67</v>
      </c>
      <c r="B48" s="67" t="s">
        <v>39</v>
      </c>
      <c r="C48" s="66">
        <v>55976.660100000001</v>
      </c>
      <c r="D48" s="66">
        <v>4.0000000000000002E-4</v>
      </c>
      <c r="E48">
        <f t="shared" si="0"/>
        <v>43160.748491021484</v>
      </c>
      <c r="F48" s="68">
        <f>ROUND(2*E48,0)/2</f>
        <v>43160.5</v>
      </c>
      <c r="G48">
        <f>+C48-(C$7+F48*C$8)</f>
        <v>0.13058932500280207</v>
      </c>
      <c r="I48" s="22">
        <f>G48</f>
        <v>0.13058932500280207</v>
      </c>
      <c r="O48">
        <f t="shared" ca="1" si="2"/>
        <v>0.13240465267690307</v>
      </c>
      <c r="Q48" s="2">
        <f t="shared" si="3"/>
        <v>40958.160100000001</v>
      </c>
      <c r="R48">
        <f ca="1">+(O48-G48)^2</f>
        <v>3.2954145643569563E-6</v>
      </c>
    </row>
    <row r="49" spans="1:18" x14ac:dyDescent="0.2">
      <c r="A49" s="69" t="s">
        <v>68</v>
      </c>
      <c r="B49" s="70" t="s">
        <v>37</v>
      </c>
      <c r="C49" s="71">
        <v>56273.846899999997</v>
      </c>
      <c r="D49" s="71">
        <v>5.0000000000000001E-4</v>
      </c>
      <c r="E49">
        <f t="shared" si="0"/>
        <v>43726.248400779135</v>
      </c>
      <c r="F49" s="68">
        <f>ROUND(2*E49,0)/2</f>
        <v>43726</v>
      </c>
      <c r="G49">
        <f>+C49-(C$7+F49*C$8)</f>
        <v>0.13054189999820665</v>
      </c>
      <c r="I49" s="22">
        <f>G49</f>
        <v>0.13054189999820665</v>
      </c>
      <c r="O49">
        <f t="shared" ca="1" si="2"/>
        <v>0.13299135529455935</v>
      </c>
      <c r="Q49" s="2">
        <f t="shared" si="3"/>
        <v>41255.346899999997</v>
      </c>
      <c r="R49">
        <f ca="1">+(O49-G49)^2</f>
        <v>5.9998312488303392E-6</v>
      </c>
    </row>
    <row r="50" spans="1:18" x14ac:dyDescent="0.2">
      <c r="B50" s="6"/>
      <c r="D50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7"/>
  <sheetViews>
    <sheetView workbookViewId="0">
      <selection activeCell="A30" sqref="A30:C37"/>
    </sheetView>
  </sheetViews>
  <sheetFormatPr defaultRowHeight="12.75" x14ac:dyDescent="0.2"/>
  <cols>
    <col min="1" max="1" width="19.7109375" style="18" customWidth="1"/>
    <col min="2" max="2" width="4.42578125" style="40" customWidth="1"/>
    <col min="3" max="3" width="12.7109375" style="18" customWidth="1"/>
    <col min="4" max="4" width="5.42578125" style="40" customWidth="1"/>
    <col min="5" max="5" width="14.85546875" style="40" customWidth="1"/>
    <col min="6" max="6" width="9.140625" style="40"/>
    <col min="7" max="7" width="12" style="40" customWidth="1"/>
    <col min="8" max="8" width="14.140625" style="18" customWidth="1"/>
    <col min="9" max="9" width="22.5703125" style="40" customWidth="1"/>
    <col min="10" max="10" width="25.140625" style="40" customWidth="1"/>
    <col min="11" max="11" width="15.7109375" style="40" customWidth="1"/>
    <col min="12" max="12" width="14.140625" style="40" customWidth="1"/>
    <col min="13" max="13" width="9.5703125" style="40" customWidth="1"/>
    <col min="14" max="14" width="14.140625" style="40" customWidth="1"/>
    <col min="15" max="15" width="23.42578125" style="40" customWidth="1"/>
    <col min="16" max="16" width="16.5703125" style="40" customWidth="1"/>
    <col min="17" max="17" width="41" style="40" customWidth="1"/>
    <col min="18" max="16384" width="9.140625" style="40"/>
  </cols>
  <sheetData>
    <row r="1" spans="1:16" ht="15.75" x14ac:dyDescent="0.25">
      <c r="A1" s="72" t="s">
        <v>69</v>
      </c>
      <c r="I1" s="73" t="s">
        <v>70</v>
      </c>
      <c r="J1" s="74" t="s">
        <v>71</v>
      </c>
    </row>
    <row r="2" spans="1:16" x14ac:dyDescent="0.2">
      <c r="I2" s="75" t="s">
        <v>72</v>
      </c>
      <c r="J2" s="76" t="s">
        <v>73</v>
      </c>
    </row>
    <row r="3" spans="1:16" x14ac:dyDescent="0.2">
      <c r="A3" s="77" t="s">
        <v>74</v>
      </c>
      <c r="I3" s="75" t="s">
        <v>75</v>
      </c>
      <c r="J3" s="76" t="s">
        <v>76</v>
      </c>
    </row>
    <row r="4" spans="1:16" x14ac:dyDescent="0.2">
      <c r="I4" s="75" t="s">
        <v>77</v>
      </c>
      <c r="J4" s="76" t="s">
        <v>76</v>
      </c>
    </row>
    <row r="5" spans="1:16" ht="13.5" thickBot="1" x14ac:dyDescent="0.25">
      <c r="I5" s="78" t="s">
        <v>78</v>
      </c>
      <c r="J5" s="79" t="s">
        <v>79</v>
      </c>
    </row>
    <row r="10" spans="1:16" ht="13.5" thickBot="1" x14ac:dyDescent="0.25"/>
    <row r="11" spans="1:16" ht="12.75" customHeight="1" thickBot="1" x14ac:dyDescent="0.25">
      <c r="A11" s="18" t="str">
        <f t="shared" ref="A11:A37" si="0">P11</f>
        <v>BAVM 102 </v>
      </c>
      <c r="B11" s="6" t="str">
        <f t="shared" ref="B11:B37" si="1">IF(H11=INT(H11),"I","II")</f>
        <v>I</v>
      </c>
      <c r="C11" s="18">
        <f t="shared" ref="C11:C37" si="2">1*G11</f>
        <v>50442.542999999998</v>
      </c>
      <c r="D11" s="40" t="str">
        <f t="shared" ref="D11:D37" si="3">VLOOKUP(F11,I$1:J$5,2,FALSE)</f>
        <v>vis</v>
      </c>
      <c r="E11" s="80">
        <f>VLOOKUP(C11,Active!C$21:E$973,3,FALSE)</f>
        <v>32630.190873259504</v>
      </c>
      <c r="F11" s="6" t="s">
        <v>78</v>
      </c>
      <c r="G11" s="40" t="str">
        <f t="shared" ref="G11:G37" si="4">MID(I11,3,LEN(I11)-3)</f>
        <v>50442.5430</v>
      </c>
      <c r="H11" s="18">
        <f t="shared" ref="H11:H37" si="5">1*K11</f>
        <v>32630</v>
      </c>
      <c r="I11" s="81" t="s">
        <v>100</v>
      </c>
      <c r="J11" s="82" t="s">
        <v>101</v>
      </c>
      <c r="K11" s="81">
        <v>32630</v>
      </c>
      <c r="L11" s="81" t="s">
        <v>102</v>
      </c>
      <c r="M11" s="82" t="s">
        <v>103</v>
      </c>
      <c r="N11" s="82" t="s">
        <v>104</v>
      </c>
      <c r="O11" s="83" t="s">
        <v>105</v>
      </c>
      <c r="P11" s="84" t="s">
        <v>106</v>
      </c>
    </row>
    <row r="12" spans="1:16" ht="12.75" customHeight="1" thickBot="1" x14ac:dyDescent="0.25">
      <c r="A12" s="18" t="str">
        <f t="shared" si="0"/>
        <v>BAVM 102 </v>
      </c>
      <c r="B12" s="6" t="str">
        <f t="shared" si="1"/>
        <v>I</v>
      </c>
      <c r="C12" s="18">
        <f t="shared" si="2"/>
        <v>50443.589</v>
      </c>
      <c r="D12" s="40" t="str">
        <f t="shared" si="3"/>
        <v>vis</v>
      </c>
      <c r="E12" s="80">
        <f>VLOOKUP(C12,Active!C$21:E$973,3,FALSE)</f>
        <v>32632.181247346132</v>
      </c>
      <c r="F12" s="6" t="s">
        <v>78</v>
      </c>
      <c r="G12" s="40" t="str">
        <f t="shared" si="4"/>
        <v>50443.5890</v>
      </c>
      <c r="H12" s="18">
        <f t="shared" si="5"/>
        <v>32632</v>
      </c>
      <c r="I12" s="81" t="s">
        <v>107</v>
      </c>
      <c r="J12" s="82" t="s">
        <v>108</v>
      </c>
      <c r="K12" s="81">
        <v>32632</v>
      </c>
      <c r="L12" s="81" t="s">
        <v>109</v>
      </c>
      <c r="M12" s="82" t="s">
        <v>103</v>
      </c>
      <c r="N12" s="82" t="s">
        <v>104</v>
      </c>
      <c r="O12" s="83" t="s">
        <v>105</v>
      </c>
      <c r="P12" s="84" t="s">
        <v>106</v>
      </c>
    </row>
    <row r="13" spans="1:16" ht="12.75" customHeight="1" thickBot="1" x14ac:dyDescent="0.25">
      <c r="A13" s="18" t="str">
        <f t="shared" si="0"/>
        <v>BAVM 102 </v>
      </c>
      <c r="B13" s="6" t="str">
        <f t="shared" si="1"/>
        <v>I</v>
      </c>
      <c r="C13" s="18">
        <f t="shared" si="2"/>
        <v>50446.483399999997</v>
      </c>
      <c r="D13" s="40" t="str">
        <f t="shared" si="3"/>
        <v>vis</v>
      </c>
      <c r="E13" s="80">
        <f>VLOOKUP(C13,Active!C$21:E$973,3,FALSE)</f>
        <v>32637.688836979323</v>
      </c>
      <c r="F13" s="6" t="s">
        <v>78</v>
      </c>
      <c r="G13" s="40" t="str">
        <f t="shared" si="4"/>
        <v>50446.4834</v>
      </c>
      <c r="H13" s="18">
        <f t="shared" si="5"/>
        <v>32638</v>
      </c>
      <c r="I13" s="81" t="s">
        <v>110</v>
      </c>
      <c r="J13" s="82" t="s">
        <v>111</v>
      </c>
      <c r="K13" s="81">
        <v>32638</v>
      </c>
      <c r="L13" s="81" t="s">
        <v>112</v>
      </c>
      <c r="M13" s="82" t="s">
        <v>103</v>
      </c>
      <c r="N13" s="82" t="s">
        <v>104</v>
      </c>
      <c r="O13" s="83" t="s">
        <v>105</v>
      </c>
      <c r="P13" s="84" t="s">
        <v>106</v>
      </c>
    </row>
    <row r="14" spans="1:16" ht="12.75" customHeight="1" thickBot="1" x14ac:dyDescent="0.25">
      <c r="A14" s="18" t="str">
        <f t="shared" si="0"/>
        <v>BAVM 117 </v>
      </c>
      <c r="B14" s="6" t="str">
        <f t="shared" si="1"/>
        <v>I</v>
      </c>
      <c r="C14" s="18">
        <f t="shared" si="2"/>
        <v>50841.428</v>
      </c>
      <c r="D14" s="40" t="str">
        <f t="shared" si="3"/>
        <v>vis</v>
      </c>
      <c r="E14" s="80">
        <f>VLOOKUP(C14,Active!C$21:E$973,3,FALSE)</f>
        <v>33389.206521005915</v>
      </c>
      <c r="F14" s="6" t="s">
        <v>78</v>
      </c>
      <c r="G14" s="40" t="str">
        <f t="shared" si="4"/>
        <v>50841.4280</v>
      </c>
      <c r="H14" s="18">
        <f t="shared" si="5"/>
        <v>33389</v>
      </c>
      <c r="I14" s="81" t="s">
        <v>113</v>
      </c>
      <c r="J14" s="82" t="s">
        <v>114</v>
      </c>
      <c r="K14" s="81">
        <v>33389</v>
      </c>
      <c r="L14" s="81" t="s">
        <v>115</v>
      </c>
      <c r="M14" s="82" t="s">
        <v>103</v>
      </c>
      <c r="N14" s="82" t="s">
        <v>104</v>
      </c>
      <c r="O14" s="83" t="s">
        <v>105</v>
      </c>
      <c r="P14" s="84" t="s">
        <v>116</v>
      </c>
    </row>
    <row r="15" spans="1:16" ht="12.75" customHeight="1" thickBot="1" x14ac:dyDescent="0.25">
      <c r="A15" s="18" t="str">
        <f t="shared" si="0"/>
        <v>BAVM 117 </v>
      </c>
      <c r="B15" s="6" t="str">
        <f t="shared" si="1"/>
        <v>I</v>
      </c>
      <c r="C15" s="18">
        <f t="shared" si="2"/>
        <v>50848.5118</v>
      </c>
      <c r="D15" s="40" t="str">
        <f t="shared" si="3"/>
        <v>vis</v>
      </c>
      <c r="E15" s="80">
        <f>VLOOKUP(C15,Active!C$21:E$973,3,FALSE)</f>
        <v>33402.6858823394</v>
      </c>
      <c r="F15" s="6" t="s">
        <v>78</v>
      </c>
      <c r="G15" s="40" t="str">
        <f t="shared" si="4"/>
        <v>50848.5118</v>
      </c>
      <c r="H15" s="18">
        <f t="shared" si="5"/>
        <v>33403</v>
      </c>
      <c r="I15" s="81" t="s">
        <v>117</v>
      </c>
      <c r="J15" s="82" t="s">
        <v>118</v>
      </c>
      <c r="K15" s="81">
        <v>33403</v>
      </c>
      <c r="L15" s="81" t="s">
        <v>119</v>
      </c>
      <c r="M15" s="82" t="s">
        <v>103</v>
      </c>
      <c r="N15" s="82" t="s">
        <v>104</v>
      </c>
      <c r="O15" s="83" t="s">
        <v>120</v>
      </c>
      <c r="P15" s="84" t="s">
        <v>116</v>
      </c>
    </row>
    <row r="16" spans="1:16" ht="12.75" customHeight="1" thickBot="1" x14ac:dyDescent="0.25">
      <c r="A16" s="18" t="str">
        <f t="shared" si="0"/>
        <v> BBS 117 </v>
      </c>
      <c r="B16" s="6" t="str">
        <f t="shared" si="1"/>
        <v>I</v>
      </c>
      <c r="C16" s="18">
        <f t="shared" si="2"/>
        <v>50854.567999999999</v>
      </c>
      <c r="D16" s="40" t="str">
        <f t="shared" si="3"/>
        <v>vis</v>
      </c>
      <c r="E16" s="80">
        <f>VLOOKUP(C16,Active!C$21:E$973,3,FALSE)</f>
        <v>33414.209881902883</v>
      </c>
      <c r="F16" s="6" t="s">
        <v>78</v>
      </c>
      <c r="G16" s="40" t="str">
        <f t="shared" si="4"/>
        <v>50854.568</v>
      </c>
      <c r="H16" s="18">
        <f t="shared" si="5"/>
        <v>33414</v>
      </c>
      <c r="I16" s="81" t="s">
        <v>121</v>
      </c>
      <c r="J16" s="82" t="s">
        <v>122</v>
      </c>
      <c r="K16" s="81">
        <v>33414</v>
      </c>
      <c r="L16" s="81" t="s">
        <v>123</v>
      </c>
      <c r="M16" s="82" t="s">
        <v>103</v>
      </c>
      <c r="N16" s="82" t="s">
        <v>124</v>
      </c>
      <c r="O16" s="83" t="s">
        <v>125</v>
      </c>
      <c r="P16" s="83" t="s">
        <v>126</v>
      </c>
    </row>
    <row r="17" spans="1:16" ht="12.75" customHeight="1" thickBot="1" x14ac:dyDescent="0.25">
      <c r="A17" s="18" t="str">
        <f t="shared" si="0"/>
        <v> BBS 117 </v>
      </c>
      <c r="B17" s="6" t="str">
        <f t="shared" si="1"/>
        <v>I</v>
      </c>
      <c r="C17" s="18">
        <f t="shared" si="2"/>
        <v>50860.347900000001</v>
      </c>
      <c r="D17" s="40" t="str">
        <f t="shared" si="3"/>
        <v>vis</v>
      </c>
      <c r="E17" s="80">
        <f>VLOOKUP(C17,Active!C$21:E$973,3,FALSE)</f>
        <v>33425.208125863952</v>
      </c>
      <c r="F17" s="6" t="s">
        <v>78</v>
      </c>
      <c r="G17" s="40" t="str">
        <f t="shared" si="4"/>
        <v>50860.3479</v>
      </c>
      <c r="H17" s="18">
        <f t="shared" si="5"/>
        <v>33425</v>
      </c>
      <c r="I17" s="81" t="s">
        <v>127</v>
      </c>
      <c r="J17" s="82" t="s">
        <v>128</v>
      </c>
      <c r="K17" s="81">
        <v>33425</v>
      </c>
      <c r="L17" s="81" t="s">
        <v>129</v>
      </c>
      <c r="M17" s="82" t="s">
        <v>103</v>
      </c>
      <c r="N17" s="82" t="s">
        <v>124</v>
      </c>
      <c r="O17" s="83" t="s">
        <v>130</v>
      </c>
      <c r="P17" s="83" t="s">
        <v>126</v>
      </c>
    </row>
    <row r="18" spans="1:16" ht="12.75" customHeight="1" thickBot="1" x14ac:dyDescent="0.25">
      <c r="A18" s="18" t="str">
        <f t="shared" si="0"/>
        <v>IBVS 5378 </v>
      </c>
      <c r="B18" s="6" t="str">
        <f t="shared" si="1"/>
        <v>I</v>
      </c>
      <c r="C18" s="18">
        <f t="shared" si="2"/>
        <v>52597.762999999999</v>
      </c>
      <c r="D18" s="40" t="str">
        <f t="shared" si="3"/>
        <v>vis</v>
      </c>
      <c r="E18" s="80">
        <f>VLOOKUP(C18,Active!C$21:E$973,3,FALSE)</f>
        <v>36731.236799619277</v>
      </c>
      <c r="F18" s="6" t="s">
        <v>78</v>
      </c>
      <c r="G18" s="40" t="str">
        <f t="shared" si="4"/>
        <v>52597.7630</v>
      </c>
      <c r="H18" s="18">
        <f t="shared" si="5"/>
        <v>36731</v>
      </c>
      <c r="I18" s="81" t="s">
        <v>131</v>
      </c>
      <c r="J18" s="82" t="s">
        <v>132</v>
      </c>
      <c r="K18" s="81">
        <v>36731</v>
      </c>
      <c r="L18" s="81" t="s">
        <v>133</v>
      </c>
      <c r="M18" s="82" t="s">
        <v>103</v>
      </c>
      <c r="N18" s="82" t="s">
        <v>124</v>
      </c>
      <c r="O18" s="83" t="s">
        <v>134</v>
      </c>
      <c r="P18" s="84" t="s">
        <v>135</v>
      </c>
    </row>
    <row r="19" spans="1:16" ht="12.75" customHeight="1" thickBot="1" x14ac:dyDescent="0.25">
      <c r="A19" s="18" t="str">
        <f t="shared" si="0"/>
        <v>IBVS 5493 </v>
      </c>
      <c r="B19" s="6" t="str">
        <f t="shared" si="1"/>
        <v>II</v>
      </c>
      <c r="C19" s="18">
        <f t="shared" si="2"/>
        <v>52947.031300000002</v>
      </c>
      <c r="D19" s="40" t="str">
        <f t="shared" si="3"/>
        <v>vis</v>
      </c>
      <c r="E19" s="80">
        <f>VLOOKUP(C19,Active!C$21:E$973,3,FALSE)</f>
        <v>37395.83964244814</v>
      </c>
      <c r="F19" s="6" t="s">
        <v>78</v>
      </c>
      <c r="G19" s="40" t="str">
        <f t="shared" si="4"/>
        <v>52947.0313</v>
      </c>
      <c r="H19" s="18">
        <f t="shared" si="5"/>
        <v>37395.5</v>
      </c>
      <c r="I19" s="81" t="s">
        <v>136</v>
      </c>
      <c r="J19" s="82" t="s">
        <v>137</v>
      </c>
      <c r="K19" s="81">
        <v>37395.5</v>
      </c>
      <c r="L19" s="81" t="s">
        <v>138</v>
      </c>
      <c r="M19" s="82" t="s">
        <v>103</v>
      </c>
      <c r="N19" s="82" t="s">
        <v>124</v>
      </c>
      <c r="O19" s="83" t="s">
        <v>139</v>
      </c>
      <c r="P19" s="84" t="s">
        <v>140</v>
      </c>
    </row>
    <row r="20" spans="1:16" ht="12.75" customHeight="1" thickBot="1" x14ac:dyDescent="0.25">
      <c r="A20" s="18" t="str">
        <f t="shared" si="0"/>
        <v>BAVM 173 </v>
      </c>
      <c r="B20" s="6" t="str">
        <f t="shared" si="1"/>
        <v>I</v>
      </c>
      <c r="C20" s="18">
        <f t="shared" si="2"/>
        <v>53354.527399999999</v>
      </c>
      <c r="D20" s="40" t="str">
        <f t="shared" si="3"/>
        <v>vis</v>
      </c>
      <c r="E20" s="80">
        <f>VLOOKUP(C20,Active!C$21:E$973,3,FALSE)</f>
        <v>38171.240864092557</v>
      </c>
      <c r="F20" s="6" t="s">
        <v>78</v>
      </c>
      <c r="G20" s="40" t="str">
        <f t="shared" si="4"/>
        <v>53354.5274</v>
      </c>
      <c r="H20" s="18">
        <f t="shared" si="5"/>
        <v>38171</v>
      </c>
      <c r="I20" s="81" t="s">
        <v>141</v>
      </c>
      <c r="J20" s="82" t="s">
        <v>142</v>
      </c>
      <c r="K20" s="81">
        <v>38171</v>
      </c>
      <c r="L20" s="81" t="s">
        <v>143</v>
      </c>
      <c r="M20" s="82" t="s">
        <v>103</v>
      </c>
      <c r="N20" s="82" t="s">
        <v>104</v>
      </c>
      <c r="O20" s="83" t="s">
        <v>144</v>
      </c>
      <c r="P20" s="84" t="s">
        <v>145</v>
      </c>
    </row>
    <row r="21" spans="1:16" ht="12.75" customHeight="1" thickBot="1" x14ac:dyDescent="0.25">
      <c r="A21" s="18" t="str">
        <f t="shared" si="0"/>
        <v>BAVM 178 </v>
      </c>
      <c r="B21" s="6" t="str">
        <f t="shared" si="1"/>
        <v>I</v>
      </c>
      <c r="C21" s="18">
        <f t="shared" si="2"/>
        <v>53763.392</v>
      </c>
      <c r="D21" s="40" t="str">
        <f t="shared" si="3"/>
        <v>vis</v>
      </c>
      <c r="E21" s="80">
        <f>VLOOKUP(C21,Active!C$21:E$973,3,FALSE)</f>
        <v>38949.24612678626</v>
      </c>
      <c r="F21" s="6" t="s">
        <v>78</v>
      </c>
      <c r="G21" s="40" t="str">
        <f t="shared" si="4"/>
        <v>53763.3920</v>
      </c>
      <c r="H21" s="18">
        <f t="shared" si="5"/>
        <v>38949</v>
      </c>
      <c r="I21" s="81" t="s">
        <v>146</v>
      </c>
      <c r="J21" s="82" t="s">
        <v>147</v>
      </c>
      <c r="K21" s="81">
        <v>38949</v>
      </c>
      <c r="L21" s="81" t="s">
        <v>148</v>
      </c>
      <c r="M21" s="82" t="s">
        <v>149</v>
      </c>
      <c r="N21" s="82" t="s">
        <v>104</v>
      </c>
      <c r="O21" s="83" t="s">
        <v>144</v>
      </c>
      <c r="P21" s="84" t="s">
        <v>150</v>
      </c>
    </row>
    <row r="22" spans="1:16" ht="12.75" customHeight="1" thickBot="1" x14ac:dyDescent="0.25">
      <c r="A22" s="18" t="str">
        <f t="shared" si="0"/>
        <v>BAVM 186 </v>
      </c>
      <c r="B22" s="6" t="str">
        <f t="shared" si="1"/>
        <v>I</v>
      </c>
      <c r="C22" s="18">
        <f t="shared" si="2"/>
        <v>54026.684000000001</v>
      </c>
      <c r="D22" s="40" t="str">
        <f t="shared" si="3"/>
        <v>vis</v>
      </c>
      <c r="E22" s="80">
        <f>VLOOKUP(C22,Active!C$21:E$973,3,FALSE)</f>
        <v>39450.249543626829</v>
      </c>
      <c r="F22" s="6" t="s">
        <v>78</v>
      </c>
      <c r="G22" s="40" t="str">
        <f t="shared" si="4"/>
        <v>54026.684</v>
      </c>
      <c r="H22" s="18">
        <f t="shared" si="5"/>
        <v>39450</v>
      </c>
      <c r="I22" s="81" t="s">
        <v>151</v>
      </c>
      <c r="J22" s="82" t="s">
        <v>152</v>
      </c>
      <c r="K22" s="81">
        <v>39450</v>
      </c>
      <c r="L22" s="81" t="s">
        <v>153</v>
      </c>
      <c r="M22" s="82" t="s">
        <v>149</v>
      </c>
      <c r="N22" s="82" t="s">
        <v>104</v>
      </c>
      <c r="O22" s="83" t="s">
        <v>144</v>
      </c>
      <c r="P22" s="84" t="s">
        <v>154</v>
      </c>
    </row>
    <row r="23" spans="1:16" ht="12.75" customHeight="1" thickBot="1" x14ac:dyDescent="0.25">
      <c r="A23" s="18" t="str">
        <f t="shared" si="0"/>
        <v>BAVM 186 </v>
      </c>
      <c r="B23" s="6" t="str">
        <f t="shared" si="1"/>
        <v>I</v>
      </c>
      <c r="C23" s="18">
        <f t="shared" si="2"/>
        <v>54085.5429</v>
      </c>
      <c r="D23" s="40" t="str">
        <f t="shared" si="3"/>
        <v>vis</v>
      </c>
      <c r="E23" s="80">
        <f>VLOOKUP(C23,Active!C$21:E$973,3,FALSE)</f>
        <v>39562.248806845899</v>
      </c>
      <c r="F23" s="6" t="s">
        <v>78</v>
      </c>
      <c r="G23" s="40" t="str">
        <f t="shared" si="4"/>
        <v>54085.5429</v>
      </c>
      <c r="H23" s="18">
        <f t="shared" si="5"/>
        <v>39562</v>
      </c>
      <c r="I23" s="81" t="s">
        <v>155</v>
      </c>
      <c r="J23" s="82" t="s">
        <v>156</v>
      </c>
      <c r="K23" s="81">
        <v>39562</v>
      </c>
      <c r="L23" s="81" t="s">
        <v>157</v>
      </c>
      <c r="M23" s="82" t="s">
        <v>149</v>
      </c>
      <c r="N23" s="82" t="s">
        <v>104</v>
      </c>
      <c r="O23" s="83" t="s">
        <v>144</v>
      </c>
      <c r="P23" s="84" t="s">
        <v>154</v>
      </c>
    </row>
    <row r="24" spans="1:16" ht="12.75" customHeight="1" thickBot="1" x14ac:dyDescent="0.25">
      <c r="A24" s="18" t="str">
        <f t="shared" si="0"/>
        <v>IBVS 5929 </v>
      </c>
      <c r="B24" s="6" t="str">
        <f t="shared" si="1"/>
        <v>II</v>
      </c>
      <c r="C24" s="18">
        <f t="shared" si="2"/>
        <v>54875.677000000003</v>
      </c>
      <c r="D24" s="40" t="str">
        <f t="shared" si="3"/>
        <v>vis</v>
      </c>
      <c r="E24" s="80">
        <f>VLOOKUP(C24,Active!C$21:E$973,3,FALSE)</f>
        <v>41065.750181222051</v>
      </c>
      <c r="F24" s="6" t="s">
        <v>78</v>
      </c>
      <c r="G24" s="40" t="str">
        <f t="shared" si="4"/>
        <v>54875.6770</v>
      </c>
      <c r="H24" s="18">
        <f t="shared" si="5"/>
        <v>41065.5</v>
      </c>
      <c r="I24" s="81" t="s">
        <v>164</v>
      </c>
      <c r="J24" s="82" t="s">
        <v>165</v>
      </c>
      <c r="K24" s="81">
        <v>41065.5</v>
      </c>
      <c r="L24" s="81" t="s">
        <v>166</v>
      </c>
      <c r="M24" s="82" t="s">
        <v>149</v>
      </c>
      <c r="N24" s="82" t="s">
        <v>70</v>
      </c>
      <c r="O24" s="83" t="s">
        <v>139</v>
      </c>
      <c r="P24" s="84" t="s">
        <v>167</v>
      </c>
    </row>
    <row r="25" spans="1:16" ht="12.75" customHeight="1" thickBot="1" x14ac:dyDescent="0.25">
      <c r="A25" s="18" t="str">
        <f t="shared" si="0"/>
        <v>IBVS 5992 </v>
      </c>
      <c r="B25" s="6" t="str">
        <f t="shared" si="1"/>
        <v>II</v>
      </c>
      <c r="C25" s="18">
        <f t="shared" si="2"/>
        <v>55607.741199999997</v>
      </c>
      <c r="D25" s="40" t="str">
        <f t="shared" si="3"/>
        <v>vis</v>
      </c>
      <c r="E25" s="80">
        <f>VLOOKUP(C25,Active!C$21:E$973,3,FALSE)</f>
        <v>42458.753635738896</v>
      </c>
      <c r="F25" s="6" t="s">
        <v>78</v>
      </c>
      <c r="G25" s="40" t="str">
        <f t="shared" si="4"/>
        <v>55607.7412</v>
      </c>
      <c r="H25" s="18">
        <f t="shared" si="5"/>
        <v>42458.5</v>
      </c>
      <c r="I25" s="81" t="s">
        <v>168</v>
      </c>
      <c r="J25" s="82" t="s">
        <v>169</v>
      </c>
      <c r="K25" s="81">
        <v>42458.5</v>
      </c>
      <c r="L25" s="81" t="s">
        <v>170</v>
      </c>
      <c r="M25" s="82" t="s">
        <v>149</v>
      </c>
      <c r="N25" s="82" t="s">
        <v>78</v>
      </c>
      <c r="O25" s="83" t="s">
        <v>130</v>
      </c>
      <c r="P25" s="84" t="s">
        <v>171</v>
      </c>
    </row>
    <row r="26" spans="1:16" ht="12.75" customHeight="1" thickBot="1" x14ac:dyDescent="0.25">
      <c r="A26" s="18" t="str">
        <f t="shared" si="0"/>
        <v>BAVM 220 </v>
      </c>
      <c r="B26" s="6" t="str">
        <f t="shared" si="1"/>
        <v>I</v>
      </c>
      <c r="C26" s="18">
        <f t="shared" si="2"/>
        <v>55625.345000000001</v>
      </c>
      <c r="D26" s="40" t="str">
        <f t="shared" si="3"/>
        <v>vis</v>
      </c>
      <c r="E26" s="80">
        <f>VLOOKUP(C26,Active!C$21:E$973,3,FALSE)</f>
        <v>42492.25090853632</v>
      </c>
      <c r="F26" s="6" t="s">
        <v>78</v>
      </c>
      <c r="G26" s="40" t="str">
        <f t="shared" si="4"/>
        <v>55625.3450</v>
      </c>
      <c r="H26" s="18">
        <f t="shared" si="5"/>
        <v>42492</v>
      </c>
      <c r="I26" s="81" t="s">
        <v>172</v>
      </c>
      <c r="J26" s="82" t="s">
        <v>173</v>
      </c>
      <c r="K26" s="81">
        <v>42492</v>
      </c>
      <c r="L26" s="81" t="s">
        <v>174</v>
      </c>
      <c r="M26" s="82" t="s">
        <v>149</v>
      </c>
      <c r="N26" s="82" t="s">
        <v>104</v>
      </c>
      <c r="O26" s="83" t="s">
        <v>175</v>
      </c>
      <c r="P26" s="84" t="s">
        <v>176</v>
      </c>
    </row>
    <row r="27" spans="1:16" ht="12.75" customHeight="1" thickBot="1" x14ac:dyDescent="0.25">
      <c r="A27" s="18" t="str">
        <f t="shared" si="0"/>
        <v>BAVM 220 </v>
      </c>
      <c r="B27" s="6" t="str">
        <f t="shared" si="1"/>
        <v>I</v>
      </c>
      <c r="C27" s="18">
        <f t="shared" si="2"/>
        <v>55635.330900000001</v>
      </c>
      <c r="D27" s="40" t="str">
        <f t="shared" si="3"/>
        <v>vis</v>
      </c>
      <c r="E27" s="80">
        <f>VLOOKUP(C27,Active!C$21:E$973,3,FALSE)</f>
        <v>42511.252511396371</v>
      </c>
      <c r="F27" s="6" t="s">
        <v>78</v>
      </c>
      <c r="G27" s="40" t="str">
        <f t="shared" si="4"/>
        <v>55635.3309</v>
      </c>
      <c r="H27" s="18">
        <f t="shared" si="5"/>
        <v>42511</v>
      </c>
      <c r="I27" s="81" t="s">
        <v>177</v>
      </c>
      <c r="J27" s="82" t="s">
        <v>178</v>
      </c>
      <c r="K27" s="81">
        <v>42511</v>
      </c>
      <c r="L27" s="81" t="s">
        <v>179</v>
      </c>
      <c r="M27" s="82" t="s">
        <v>149</v>
      </c>
      <c r="N27" s="82" t="s">
        <v>104</v>
      </c>
      <c r="O27" s="83" t="s">
        <v>180</v>
      </c>
      <c r="P27" s="84" t="s">
        <v>176</v>
      </c>
    </row>
    <row r="28" spans="1:16" ht="12.75" customHeight="1" thickBot="1" x14ac:dyDescent="0.25">
      <c r="A28" s="18" t="str">
        <f t="shared" si="0"/>
        <v>IBVS 6029 </v>
      </c>
      <c r="B28" s="6" t="str">
        <f t="shared" si="1"/>
        <v>II</v>
      </c>
      <c r="C28" s="18">
        <f t="shared" si="2"/>
        <v>55976.660100000001</v>
      </c>
      <c r="D28" s="40" t="str">
        <f t="shared" si="3"/>
        <v>vis</v>
      </c>
      <c r="E28" s="80">
        <f>VLOOKUP(C28,Active!C$21:E$973,3,FALSE)</f>
        <v>43160.748491021484</v>
      </c>
      <c r="F28" s="6" t="s">
        <v>78</v>
      </c>
      <c r="G28" s="40" t="str">
        <f t="shared" si="4"/>
        <v>55976.6601</v>
      </c>
      <c r="H28" s="18">
        <f t="shared" si="5"/>
        <v>43160.5</v>
      </c>
      <c r="I28" s="81" t="s">
        <v>186</v>
      </c>
      <c r="J28" s="82" t="s">
        <v>187</v>
      </c>
      <c r="K28" s="81">
        <v>43160.5</v>
      </c>
      <c r="L28" s="81" t="s">
        <v>188</v>
      </c>
      <c r="M28" s="82" t="s">
        <v>149</v>
      </c>
      <c r="N28" s="82" t="s">
        <v>78</v>
      </c>
      <c r="O28" s="83" t="s">
        <v>130</v>
      </c>
      <c r="P28" s="84" t="s">
        <v>189</v>
      </c>
    </row>
    <row r="29" spans="1:16" ht="12.75" customHeight="1" thickBot="1" x14ac:dyDescent="0.25">
      <c r="A29" s="18" t="str">
        <f t="shared" si="0"/>
        <v>IBVS 6042 </v>
      </c>
      <c r="B29" s="6" t="str">
        <f t="shared" si="1"/>
        <v>I</v>
      </c>
      <c r="C29" s="18">
        <f t="shared" si="2"/>
        <v>56273.846899999997</v>
      </c>
      <c r="D29" s="40" t="str">
        <f t="shared" si="3"/>
        <v>vis</v>
      </c>
      <c r="E29" s="80">
        <f>VLOOKUP(C29,Active!C$21:E$973,3,FALSE)</f>
        <v>43726.248400779135</v>
      </c>
      <c r="F29" s="6" t="s">
        <v>78</v>
      </c>
      <c r="G29" s="40" t="str">
        <f t="shared" si="4"/>
        <v>56273.8469</v>
      </c>
      <c r="H29" s="18">
        <f t="shared" si="5"/>
        <v>43726</v>
      </c>
      <c r="I29" s="81" t="s">
        <v>190</v>
      </c>
      <c r="J29" s="82" t="s">
        <v>191</v>
      </c>
      <c r="K29" s="81">
        <v>43726</v>
      </c>
      <c r="L29" s="81" t="s">
        <v>192</v>
      </c>
      <c r="M29" s="82" t="s">
        <v>149</v>
      </c>
      <c r="N29" s="82" t="s">
        <v>78</v>
      </c>
      <c r="O29" s="83" t="s">
        <v>130</v>
      </c>
      <c r="P29" s="84" t="s">
        <v>193</v>
      </c>
    </row>
    <row r="30" spans="1:16" ht="12.75" customHeight="1" thickBot="1" x14ac:dyDescent="0.25">
      <c r="A30" s="18" t="str">
        <f t="shared" si="0"/>
        <v> AHSB 7.7.376 </v>
      </c>
      <c r="B30" s="6" t="str">
        <f t="shared" si="1"/>
        <v>I</v>
      </c>
      <c r="C30" s="18">
        <f t="shared" si="2"/>
        <v>29691.383000000002</v>
      </c>
      <c r="D30" s="40" t="str">
        <f t="shared" si="3"/>
        <v>vis</v>
      </c>
      <c r="E30" s="80">
        <f>VLOOKUP(C30,Active!C$21:E$973,3,FALSE)</f>
        <v>-6856.0147972705927</v>
      </c>
      <c r="F30" s="6" t="s">
        <v>78</v>
      </c>
      <c r="G30" s="40" t="str">
        <f t="shared" si="4"/>
        <v>29691.383</v>
      </c>
      <c r="H30" s="18">
        <f t="shared" si="5"/>
        <v>-6856</v>
      </c>
      <c r="I30" s="81" t="s">
        <v>81</v>
      </c>
      <c r="J30" s="82" t="s">
        <v>82</v>
      </c>
      <c r="K30" s="81">
        <v>-6856</v>
      </c>
      <c r="L30" s="81" t="s">
        <v>83</v>
      </c>
      <c r="M30" s="82" t="s">
        <v>80</v>
      </c>
      <c r="N30" s="82"/>
      <c r="O30" s="83" t="s">
        <v>84</v>
      </c>
      <c r="P30" s="83" t="s">
        <v>85</v>
      </c>
    </row>
    <row r="31" spans="1:16" ht="12.75" customHeight="1" thickBot="1" x14ac:dyDescent="0.25">
      <c r="A31" s="18" t="str">
        <f t="shared" si="0"/>
        <v> AHSB 7.7.376 </v>
      </c>
      <c r="B31" s="6" t="str">
        <f t="shared" si="1"/>
        <v>I</v>
      </c>
      <c r="C31" s="18">
        <f t="shared" si="2"/>
        <v>31843.423999999999</v>
      </c>
      <c r="D31" s="40" t="str">
        <f t="shared" si="3"/>
        <v>vis</v>
      </c>
      <c r="E31" s="80">
        <f>VLOOKUP(C31,Active!C$21:E$973,3,FALSE)</f>
        <v>-2761.018009745791</v>
      </c>
      <c r="F31" s="6" t="s">
        <v>78</v>
      </c>
      <c r="G31" s="40" t="str">
        <f t="shared" si="4"/>
        <v>31843.424</v>
      </c>
      <c r="H31" s="18">
        <f t="shared" si="5"/>
        <v>-2761</v>
      </c>
      <c r="I31" s="81" t="s">
        <v>86</v>
      </c>
      <c r="J31" s="82" t="s">
        <v>87</v>
      </c>
      <c r="K31" s="81">
        <v>-2761</v>
      </c>
      <c r="L31" s="81" t="s">
        <v>88</v>
      </c>
      <c r="M31" s="82" t="s">
        <v>80</v>
      </c>
      <c r="N31" s="82"/>
      <c r="O31" s="83" t="s">
        <v>84</v>
      </c>
      <c r="P31" s="83" t="s">
        <v>85</v>
      </c>
    </row>
    <row r="32" spans="1:16" ht="12.75" customHeight="1" thickBot="1" x14ac:dyDescent="0.25">
      <c r="A32" s="18" t="str">
        <f t="shared" si="0"/>
        <v> AHSB 7.7.376 </v>
      </c>
      <c r="B32" s="6" t="str">
        <f t="shared" si="1"/>
        <v>I</v>
      </c>
      <c r="C32" s="18">
        <f t="shared" si="2"/>
        <v>33005.368999999999</v>
      </c>
      <c r="D32" s="40" t="str">
        <f t="shared" si="3"/>
        <v>vis</v>
      </c>
      <c r="E32" s="80">
        <f>VLOOKUP(C32,Active!C$21:E$973,3,FALSE)</f>
        <v>-550.01875727777997</v>
      </c>
      <c r="F32" s="6" t="s">
        <v>78</v>
      </c>
      <c r="G32" s="40" t="str">
        <f t="shared" si="4"/>
        <v>33005.369</v>
      </c>
      <c r="H32" s="18">
        <f t="shared" si="5"/>
        <v>-550</v>
      </c>
      <c r="I32" s="81" t="s">
        <v>89</v>
      </c>
      <c r="J32" s="82" t="s">
        <v>90</v>
      </c>
      <c r="K32" s="81">
        <v>-550</v>
      </c>
      <c r="L32" s="81" t="s">
        <v>91</v>
      </c>
      <c r="M32" s="82" t="s">
        <v>80</v>
      </c>
      <c r="N32" s="82"/>
      <c r="O32" s="83" t="s">
        <v>84</v>
      </c>
      <c r="P32" s="83" t="s">
        <v>85</v>
      </c>
    </row>
    <row r="33" spans="1:16" ht="12.75" customHeight="1" thickBot="1" x14ac:dyDescent="0.25">
      <c r="A33" s="18" t="str">
        <f t="shared" si="0"/>
        <v> AHSB 7.7.376 </v>
      </c>
      <c r="B33" s="6" t="str">
        <f t="shared" si="1"/>
        <v>I</v>
      </c>
      <c r="C33" s="18">
        <f t="shared" si="2"/>
        <v>34445.319000000003</v>
      </c>
      <c r="D33" s="40" t="str">
        <f t="shared" si="3"/>
        <v>vis</v>
      </c>
      <c r="E33" s="80">
        <f>VLOOKUP(C33,Active!C$21:E$973,3,FALSE)</f>
        <v>2189.9804454308878</v>
      </c>
      <c r="F33" s="6" t="s">
        <v>78</v>
      </c>
      <c r="G33" s="40" t="str">
        <f t="shared" si="4"/>
        <v>34445.319</v>
      </c>
      <c r="H33" s="18">
        <f t="shared" si="5"/>
        <v>2190</v>
      </c>
      <c r="I33" s="81" t="s">
        <v>92</v>
      </c>
      <c r="J33" s="82" t="s">
        <v>93</v>
      </c>
      <c r="K33" s="81">
        <v>2190</v>
      </c>
      <c r="L33" s="81" t="s">
        <v>91</v>
      </c>
      <c r="M33" s="82" t="s">
        <v>80</v>
      </c>
      <c r="N33" s="82"/>
      <c r="O33" s="83" t="s">
        <v>84</v>
      </c>
      <c r="P33" s="83" t="s">
        <v>85</v>
      </c>
    </row>
    <row r="34" spans="1:16" ht="12.75" customHeight="1" thickBot="1" x14ac:dyDescent="0.25">
      <c r="A34" s="18" t="str">
        <f t="shared" si="0"/>
        <v> AHSB 7.7.376 </v>
      </c>
      <c r="B34" s="6" t="str">
        <f t="shared" si="1"/>
        <v>I</v>
      </c>
      <c r="C34" s="18">
        <f t="shared" si="2"/>
        <v>35186.313999999998</v>
      </c>
      <c r="D34" s="40" t="str">
        <f t="shared" si="3"/>
        <v>vis</v>
      </c>
      <c r="E34" s="80">
        <f>VLOOKUP(C34,Active!C$21:E$973,3,FALSE)</f>
        <v>3599.9778128471803</v>
      </c>
      <c r="F34" s="6" t="s">
        <v>78</v>
      </c>
      <c r="G34" s="40" t="str">
        <f t="shared" si="4"/>
        <v>35186.314</v>
      </c>
      <c r="H34" s="18">
        <f t="shared" si="5"/>
        <v>3600</v>
      </c>
      <c r="I34" s="81" t="s">
        <v>94</v>
      </c>
      <c r="J34" s="82" t="s">
        <v>95</v>
      </c>
      <c r="K34" s="81">
        <v>3600</v>
      </c>
      <c r="L34" s="81" t="s">
        <v>96</v>
      </c>
      <c r="M34" s="82" t="s">
        <v>80</v>
      </c>
      <c r="N34" s="82"/>
      <c r="O34" s="83" t="s">
        <v>84</v>
      </c>
      <c r="P34" s="83" t="s">
        <v>85</v>
      </c>
    </row>
    <row r="35" spans="1:16" ht="12.75" customHeight="1" thickBot="1" x14ac:dyDescent="0.25">
      <c r="A35" s="18" t="str">
        <f t="shared" si="0"/>
        <v> AHSB 7.7.376 </v>
      </c>
      <c r="B35" s="6" t="str">
        <f t="shared" si="1"/>
        <v>I</v>
      </c>
      <c r="C35" s="18">
        <f t="shared" si="2"/>
        <v>36979.419000000002</v>
      </c>
      <c r="D35" s="40" t="str">
        <f t="shared" si="3"/>
        <v>vis</v>
      </c>
      <c r="E35" s="80">
        <f>VLOOKUP(C35,Active!C$21:E$973,3,FALSE)</f>
        <v>7011.9756394195747</v>
      </c>
      <c r="F35" s="6" t="s">
        <v>78</v>
      </c>
      <c r="G35" s="40" t="str">
        <f t="shared" si="4"/>
        <v>36979.419</v>
      </c>
      <c r="H35" s="18">
        <f t="shared" si="5"/>
        <v>7012</v>
      </c>
      <c r="I35" s="81" t="s">
        <v>97</v>
      </c>
      <c r="J35" s="82" t="s">
        <v>98</v>
      </c>
      <c r="K35" s="81">
        <v>7012</v>
      </c>
      <c r="L35" s="81" t="s">
        <v>99</v>
      </c>
      <c r="M35" s="82" t="s">
        <v>80</v>
      </c>
      <c r="N35" s="82"/>
      <c r="O35" s="83" t="s">
        <v>84</v>
      </c>
      <c r="P35" s="83" t="s">
        <v>85</v>
      </c>
    </row>
    <row r="36" spans="1:16" ht="12.75" customHeight="1" thickBot="1" x14ac:dyDescent="0.25">
      <c r="A36" s="18" t="str">
        <f t="shared" si="0"/>
        <v>VSB 46 </v>
      </c>
      <c r="B36" s="6" t="str">
        <f t="shared" si="1"/>
        <v>II</v>
      </c>
      <c r="C36" s="18">
        <f t="shared" si="2"/>
        <v>54134.149899999997</v>
      </c>
      <c r="D36" s="40" t="str">
        <f t="shared" si="3"/>
        <v>vis</v>
      </c>
      <c r="E36" s="80">
        <f>VLOOKUP(C36,Active!C$21:E$973,3,FALSE)</f>
        <v>39654.740310888439</v>
      </c>
      <c r="F36" s="6" t="s">
        <v>78</v>
      </c>
      <c r="G36" s="40" t="str">
        <f t="shared" si="4"/>
        <v>54134.1499</v>
      </c>
      <c r="H36" s="18">
        <f t="shared" si="5"/>
        <v>39654.5</v>
      </c>
      <c r="I36" s="81" t="s">
        <v>158</v>
      </c>
      <c r="J36" s="82" t="s">
        <v>159</v>
      </c>
      <c r="K36" s="81">
        <v>39654.5</v>
      </c>
      <c r="L36" s="81" t="s">
        <v>160</v>
      </c>
      <c r="M36" s="82" t="s">
        <v>149</v>
      </c>
      <c r="N36" s="82" t="s">
        <v>161</v>
      </c>
      <c r="O36" s="83" t="s">
        <v>162</v>
      </c>
      <c r="P36" s="84" t="s">
        <v>163</v>
      </c>
    </row>
    <row r="37" spans="1:16" ht="12.75" customHeight="1" thickBot="1" x14ac:dyDescent="0.25">
      <c r="A37" s="18" t="str">
        <f t="shared" si="0"/>
        <v>BAVM 225 </v>
      </c>
      <c r="B37" s="6" t="str">
        <f t="shared" si="1"/>
        <v>II</v>
      </c>
      <c r="C37" s="18">
        <f t="shared" si="2"/>
        <v>55941.453200000004</v>
      </c>
      <c r="D37" s="40" t="str">
        <f t="shared" si="3"/>
        <v>vis</v>
      </c>
      <c r="E37" s="80">
        <f>VLOOKUP(C37,Active!C$21:E$973,3,FALSE)</f>
        <v>43093.75527741696</v>
      </c>
      <c r="F37" s="6" t="s">
        <v>78</v>
      </c>
      <c r="G37" s="40" t="str">
        <f t="shared" si="4"/>
        <v>55941.4532</v>
      </c>
      <c r="H37" s="18">
        <f t="shared" si="5"/>
        <v>43093.5</v>
      </c>
      <c r="I37" s="81" t="s">
        <v>181</v>
      </c>
      <c r="J37" s="82" t="s">
        <v>182</v>
      </c>
      <c r="K37" s="81">
        <v>43093.5</v>
      </c>
      <c r="L37" s="81" t="s">
        <v>183</v>
      </c>
      <c r="M37" s="82" t="s">
        <v>149</v>
      </c>
      <c r="N37" s="82" t="s">
        <v>78</v>
      </c>
      <c r="O37" s="83" t="s">
        <v>184</v>
      </c>
      <c r="P37" s="84" t="s">
        <v>185</v>
      </c>
    </row>
    <row r="38" spans="1:16" x14ac:dyDescent="0.2">
      <c r="B38" s="6"/>
      <c r="E38" s="80"/>
      <c r="F38" s="6"/>
    </row>
    <row r="39" spans="1:16" x14ac:dyDescent="0.2">
      <c r="B39" s="6"/>
      <c r="E39" s="80"/>
      <c r="F39" s="6"/>
    </row>
    <row r="40" spans="1:16" x14ac:dyDescent="0.2">
      <c r="B40" s="6"/>
      <c r="E40" s="80"/>
      <c r="F40" s="6"/>
    </row>
    <row r="41" spans="1:16" x14ac:dyDescent="0.2">
      <c r="B41" s="6"/>
      <c r="E41" s="80"/>
      <c r="F41" s="6"/>
    </row>
    <row r="42" spans="1:16" x14ac:dyDescent="0.2">
      <c r="B42" s="6"/>
      <c r="E42" s="80"/>
      <c r="F42" s="6"/>
    </row>
    <row r="43" spans="1:16" x14ac:dyDescent="0.2">
      <c r="B43" s="6"/>
      <c r="E43" s="80"/>
      <c r="F43" s="6"/>
    </row>
    <row r="44" spans="1:16" x14ac:dyDescent="0.2">
      <c r="B44" s="6"/>
      <c r="E44" s="80"/>
      <c r="F44" s="6"/>
    </row>
    <row r="45" spans="1:16" x14ac:dyDescent="0.2">
      <c r="B45" s="6"/>
      <c r="E45" s="80"/>
      <c r="F45" s="6"/>
    </row>
    <row r="46" spans="1:16" x14ac:dyDescent="0.2">
      <c r="B46" s="6"/>
      <c r="E46" s="80"/>
      <c r="F46" s="6"/>
    </row>
    <row r="47" spans="1:16" x14ac:dyDescent="0.2">
      <c r="B47" s="6"/>
      <c r="E47" s="80"/>
      <c r="F47" s="6"/>
    </row>
    <row r="48" spans="1:16" x14ac:dyDescent="0.2">
      <c r="B48" s="6"/>
      <c r="E48" s="80"/>
      <c r="F48" s="6"/>
    </row>
    <row r="49" spans="2:6" x14ac:dyDescent="0.2">
      <c r="B49" s="6"/>
      <c r="E49" s="80"/>
      <c r="F49" s="6"/>
    </row>
    <row r="50" spans="2:6" x14ac:dyDescent="0.2">
      <c r="B50" s="6"/>
      <c r="E50" s="80"/>
      <c r="F50" s="6"/>
    </row>
    <row r="51" spans="2:6" x14ac:dyDescent="0.2">
      <c r="B51" s="6"/>
      <c r="E51" s="80"/>
      <c r="F51" s="6"/>
    </row>
    <row r="52" spans="2:6" x14ac:dyDescent="0.2">
      <c r="B52" s="6"/>
      <c r="E52" s="80"/>
      <c r="F52" s="6"/>
    </row>
    <row r="53" spans="2:6" x14ac:dyDescent="0.2">
      <c r="B53" s="6"/>
      <c r="E53" s="80"/>
      <c r="F53" s="6"/>
    </row>
    <row r="54" spans="2:6" x14ac:dyDescent="0.2">
      <c r="B54" s="6"/>
      <c r="E54" s="80"/>
      <c r="F54" s="6"/>
    </row>
    <row r="55" spans="2:6" x14ac:dyDescent="0.2">
      <c r="B55" s="6"/>
      <c r="E55" s="80"/>
      <c r="F55" s="6"/>
    </row>
    <row r="56" spans="2:6" x14ac:dyDescent="0.2">
      <c r="B56" s="6"/>
      <c r="E56" s="80"/>
      <c r="F56" s="6"/>
    </row>
    <row r="57" spans="2:6" x14ac:dyDescent="0.2">
      <c r="B57" s="6"/>
      <c r="E57" s="80"/>
      <c r="F57" s="6"/>
    </row>
    <row r="58" spans="2:6" x14ac:dyDescent="0.2">
      <c r="B58" s="6"/>
      <c r="E58" s="80"/>
      <c r="F58" s="6"/>
    </row>
    <row r="59" spans="2:6" x14ac:dyDescent="0.2">
      <c r="B59" s="6"/>
      <c r="E59" s="80"/>
      <c r="F59" s="6"/>
    </row>
    <row r="60" spans="2:6" x14ac:dyDescent="0.2">
      <c r="B60" s="6"/>
      <c r="E60" s="80"/>
      <c r="F60" s="6"/>
    </row>
    <row r="61" spans="2:6" x14ac:dyDescent="0.2">
      <c r="B61" s="6"/>
      <c r="E61" s="80"/>
      <c r="F61" s="6"/>
    </row>
    <row r="62" spans="2:6" x14ac:dyDescent="0.2">
      <c r="B62" s="6"/>
      <c r="E62" s="80"/>
      <c r="F62" s="6"/>
    </row>
    <row r="63" spans="2:6" x14ac:dyDescent="0.2">
      <c r="B63" s="6"/>
      <c r="E63" s="80"/>
      <c r="F63" s="6"/>
    </row>
    <row r="64" spans="2:6" x14ac:dyDescent="0.2">
      <c r="B64" s="6"/>
      <c r="E64" s="80"/>
      <c r="F64" s="6"/>
    </row>
    <row r="65" spans="2:6" x14ac:dyDescent="0.2">
      <c r="B65" s="6"/>
      <c r="E65" s="80"/>
      <c r="F65" s="6"/>
    </row>
    <row r="66" spans="2:6" x14ac:dyDescent="0.2">
      <c r="B66" s="6"/>
      <c r="E66" s="80"/>
      <c r="F66" s="6"/>
    </row>
    <row r="67" spans="2:6" x14ac:dyDescent="0.2">
      <c r="B67" s="6"/>
      <c r="E67" s="80"/>
      <c r="F67" s="6"/>
    </row>
    <row r="68" spans="2:6" x14ac:dyDescent="0.2">
      <c r="B68" s="6"/>
      <c r="E68" s="80"/>
      <c r="F68" s="6"/>
    </row>
    <row r="69" spans="2:6" x14ac:dyDescent="0.2">
      <c r="B69" s="6"/>
      <c r="E69" s="80"/>
      <c r="F69" s="6"/>
    </row>
    <row r="70" spans="2:6" x14ac:dyDescent="0.2">
      <c r="B70" s="6"/>
      <c r="E70" s="80"/>
      <c r="F70" s="6"/>
    </row>
    <row r="71" spans="2:6" x14ac:dyDescent="0.2">
      <c r="B71" s="6"/>
      <c r="E71" s="80"/>
      <c r="F71" s="6"/>
    </row>
    <row r="72" spans="2:6" x14ac:dyDescent="0.2">
      <c r="B72" s="6"/>
      <c r="E72" s="80"/>
      <c r="F72" s="6"/>
    </row>
    <row r="73" spans="2:6" x14ac:dyDescent="0.2">
      <c r="B73" s="6"/>
      <c r="E73" s="80"/>
      <c r="F73" s="6"/>
    </row>
    <row r="74" spans="2:6" x14ac:dyDescent="0.2">
      <c r="B74" s="6"/>
      <c r="E74" s="80"/>
      <c r="F74" s="6"/>
    </row>
    <row r="75" spans="2:6" x14ac:dyDescent="0.2">
      <c r="B75" s="6"/>
      <c r="E75" s="80"/>
      <c r="F75" s="6"/>
    </row>
    <row r="76" spans="2:6" x14ac:dyDescent="0.2">
      <c r="B76" s="6"/>
      <c r="E76" s="80"/>
      <c r="F76" s="6"/>
    </row>
    <row r="77" spans="2:6" x14ac:dyDescent="0.2">
      <c r="B77" s="6"/>
      <c r="E77" s="80"/>
      <c r="F77" s="6"/>
    </row>
    <row r="78" spans="2:6" x14ac:dyDescent="0.2">
      <c r="B78" s="6"/>
      <c r="E78" s="80"/>
      <c r="F78" s="6"/>
    </row>
    <row r="79" spans="2:6" x14ac:dyDescent="0.2">
      <c r="B79" s="6"/>
      <c r="E79" s="80"/>
      <c r="F79" s="6"/>
    </row>
    <row r="80" spans="2:6" x14ac:dyDescent="0.2">
      <c r="B80" s="6"/>
      <c r="E80" s="80"/>
      <c r="F80" s="6"/>
    </row>
    <row r="81" spans="2:6" x14ac:dyDescent="0.2">
      <c r="B81" s="6"/>
      <c r="E81" s="80"/>
      <c r="F81" s="6"/>
    </row>
    <row r="82" spans="2:6" x14ac:dyDescent="0.2">
      <c r="B82" s="6"/>
      <c r="E82" s="80"/>
      <c r="F82" s="6"/>
    </row>
    <row r="83" spans="2:6" x14ac:dyDescent="0.2">
      <c r="B83" s="6"/>
      <c r="E83" s="80"/>
      <c r="F83" s="6"/>
    </row>
    <row r="84" spans="2:6" x14ac:dyDescent="0.2">
      <c r="B84" s="6"/>
      <c r="E84" s="80"/>
      <c r="F84" s="6"/>
    </row>
    <row r="85" spans="2:6" x14ac:dyDescent="0.2">
      <c r="B85" s="6"/>
      <c r="E85" s="80"/>
      <c r="F85" s="6"/>
    </row>
    <row r="86" spans="2:6" x14ac:dyDescent="0.2">
      <c r="B86" s="6"/>
      <c r="E86" s="80"/>
      <c r="F86" s="6"/>
    </row>
    <row r="87" spans="2:6" x14ac:dyDescent="0.2">
      <c r="B87" s="6"/>
      <c r="E87" s="80"/>
      <c r="F87" s="6"/>
    </row>
    <row r="88" spans="2:6" x14ac:dyDescent="0.2">
      <c r="B88" s="6"/>
      <c r="E88" s="80"/>
      <c r="F88" s="6"/>
    </row>
    <row r="89" spans="2:6" x14ac:dyDescent="0.2">
      <c r="B89" s="6"/>
      <c r="E89" s="80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</sheetData>
  <phoneticPr fontId="7" type="noConversion"/>
  <hyperlinks>
    <hyperlink ref="P11" r:id="rId1" display="http://www.bav-astro.de/sfs/BAVM_link.php?BAVMnr=102"/>
    <hyperlink ref="P12" r:id="rId2" display="http://www.bav-astro.de/sfs/BAVM_link.php?BAVMnr=102"/>
    <hyperlink ref="P13" r:id="rId3" display="http://www.bav-astro.de/sfs/BAVM_link.php?BAVMnr=102"/>
    <hyperlink ref="P14" r:id="rId4" display="http://www.bav-astro.de/sfs/BAVM_link.php?BAVMnr=117"/>
    <hyperlink ref="P15" r:id="rId5" display="http://www.bav-astro.de/sfs/BAVM_link.php?BAVMnr=117"/>
    <hyperlink ref="P18" r:id="rId6" display="http://www.konkoly.hu/cgi-bin/IBVS?5378"/>
    <hyperlink ref="P19" r:id="rId7" display="http://www.konkoly.hu/cgi-bin/IBVS?5493"/>
    <hyperlink ref="P20" r:id="rId8" display="http://www.bav-astro.de/sfs/BAVM_link.php?BAVMnr=173"/>
    <hyperlink ref="P21" r:id="rId9" display="http://www.bav-astro.de/sfs/BAVM_link.php?BAVMnr=178"/>
    <hyperlink ref="P22" r:id="rId10" display="http://www.bav-astro.de/sfs/BAVM_link.php?BAVMnr=186"/>
    <hyperlink ref="P23" r:id="rId11" display="http://www.bav-astro.de/sfs/BAVM_link.php?BAVMnr=186"/>
    <hyperlink ref="P36" r:id="rId12" display="http://vsolj.cetus-net.org/no46.pdf"/>
    <hyperlink ref="P24" r:id="rId13" display="http://www.konkoly.hu/cgi-bin/IBVS?5929"/>
    <hyperlink ref="P25" r:id="rId14" display="http://www.konkoly.hu/cgi-bin/IBVS?5992"/>
    <hyperlink ref="P26" r:id="rId15" display="http://www.bav-astro.de/sfs/BAVM_link.php?BAVMnr=220"/>
    <hyperlink ref="P27" r:id="rId16" display="http://www.bav-astro.de/sfs/BAVM_link.php?BAVMnr=220"/>
    <hyperlink ref="P37" r:id="rId17" display="http://www.bav-astro.de/sfs/BAVM_link.php?BAVMnr=225"/>
    <hyperlink ref="P28" r:id="rId18" display="http://www.konkoly.hu/cgi-bin/IBVS?6029"/>
    <hyperlink ref="P29" r:id="rId19" display="http://www.konkoly.hu/cgi-bin/IBVS?6042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R17" sqref="R1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29</v>
      </c>
      <c r="C1" t="s">
        <v>30</v>
      </c>
    </row>
    <row r="2" spans="1:19" x14ac:dyDescent="0.2">
      <c r="A2" t="s">
        <v>25</v>
      </c>
      <c r="B2" t="s">
        <v>31</v>
      </c>
      <c r="C2" s="30" t="s">
        <v>44</v>
      </c>
    </row>
    <row r="4" spans="1:19" x14ac:dyDescent="0.2">
      <c r="A4" s="8" t="s">
        <v>0</v>
      </c>
      <c r="C4" s="11">
        <v>33294.42</v>
      </c>
      <c r="D4" s="12">
        <v>0.52553559679999995</v>
      </c>
    </row>
    <row r="6" spans="1:19" x14ac:dyDescent="0.2">
      <c r="A6" s="8" t="s">
        <v>1</v>
      </c>
    </row>
    <row r="7" spans="1:19" x14ac:dyDescent="0.2">
      <c r="A7" t="s">
        <v>2</v>
      </c>
      <c r="C7">
        <f>+C4</f>
        <v>33294.42</v>
      </c>
    </row>
    <row r="8" spans="1:19" x14ac:dyDescent="0.2">
      <c r="A8" t="s">
        <v>3</v>
      </c>
      <c r="C8">
        <f>+D4</f>
        <v>0.52553559679999995</v>
      </c>
    </row>
    <row r="10" spans="1:19" ht="13.5" thickBot="1" x14ac:dyDescent="0.25">
      <c r="C10" s="7" t="s">
        <v>20</v>
      </c>
      <c r="D10" s="7" t="s">
        <v>21</v>
      </c>
    </row>
    <row r="11" spans="1:19" x14ac:dyDescent="0.2">
      <c r="A11" t="s">
        <v>16</v>
      </c>
      <c r="C11">
        <f>INTERCEPT(G21:G999,$F21:$F999)</f>
        <v>-1.8443351366428384E-3</v>
      </c>
      <c r="D11" s="6"/>
    </row>
    <row r="12" spans="1:19" x14ac:dyDescent="0.2">
      <c r="A12" t="s">
        <v>17</v>
      </c>
      <c r="C12">
        <f>SLOPE(G21:G999,$F21:$F999)</f>
        <v>-3.0072784669952091E-6</v>
      </c>
      <c r="D12" s="6"/>
    </row>
    <row r="13" spans="1:19" x14ac:dyDescent="0.2">
      <c r="A13" t="s">
        <v>19</v>
      </c>
      <c r="C13" s="6" t="s">
        <v>14</v>
      </c>
      <c r="D13" s="6"/>
    </row>
    <row r="14" spans="1:19" x14ac:dyDescent="0.2">
      <c r="A14" t="s">
        <v>24</v>
      </c>
    </row>
    <row r="15" spans="1:19" x14ac:dyDescent="0.2">
      <c r="A15" s="3" t="s">
        <v>18</v>
      </c>
      <c r="C15" s="19">
        <v>52597.762999999999</v>
      </c>
      <c r="D15" s="18"/>
      <c r="Q15" t="s">
        <v>24</v>
      </c>
      <c r="R15">
        <f>SUM(R21:R268)</f>
        <v>1.33841983583445E-2</v>
      </c>
      <c r="S15">
        <f>SUM(S21:S268)</f>
        <v>0</v>
      </c>
    </row>
    <row r="16" spans="1:19" x14ac:dyDescent="0.2">
      <c r="A16" s="8" t="s">
        <v>4</v>
      </c>
      <c r="C16">
        <f>+C8+C12</f>
        <v>0.52553258952153292</v>
      </c>
      <c r="Q16" t="s">
        <v>47</v>
      </c>
      <c r="R16">
        <f>COUNT(R21:R430)</f>
        <v>10</v>
      </c>
      <c r="S16">
        <f>COUNT(S21:S430)</f>
        <v>0</v>
      </c>
    </row>
    <row r="17" spans="1:19" ht="13.5" thickBot="1" x14ac:dyDescent="0.25">
      <c r="Q17" t="s">
        <v>48</v>
      </c>
      <c r="R17">
        <f>SQRT(R15/(R16-1))</f>
        <v>3.8563365399393847E-2</v>
      </c>
      <c r="S17">
        <f>SQRT(S15/(S16-1))</f>
        <v>0</v>
      </c>
    </row>
    <row r="18" spans="1:19" x14ac:dyDescent="0.2">
      <c r="A18" s="8" t="s">
        <v>5</v>
      </c>
      <c r="C18" s="4">
        <f>+C15</f>
        <v>52597.762999999999</v>
      </c>
      <c r="D18" s="5">
        <f>+C16</f>
        <v>0.52553258952153292</v>
      </c>
    </row>
    <row r="19" spans="1:19" ht="13.5" thickTop="1" x14ac:dyDescent="0.2">
      <c r="C19">
        <f>COUNT(C21:C2191)</f>
        <v>11</v>
      </c>
    </row>
    <row r="20" spans="1:19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34" t="s">
        <v>49</v>
      </c>
    </row>
    <row r="21" spans="1:19" x14ac:dyDescent="0.2">
      <c r="A21" s="22" t="s">
        <v>12</v>
      </c>
      <c r="C21" s="18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1" si="3">+C$11+C$12*$F21</f>
        <v>-1.8443351366428384E-3</v>
      </c>
      <c r="Q21" s="2">
        <f t="shared" ref="Q21:Q31" si="4">+C21-15018.5</f>
        <v>18275.919999999998</v>
      </c>
    </row>
    <row r="22" spans="1:19" x14ac:dyDescent="0.2">
      <c r="A22" s="23" t="s">
        <v>32</v>
      </c>
      <c r="B22" s="15"/>
      <c r="C22" s="19">
        <v>50442.542999999998</v>
      </c>
      <c r="D22" s="15">
        <v>5.4000000000000003E-3</v>
      </c>
      <c r="E22">
        <f t="shared" si="0"/>
        <v>32629.803013183828</v>
      </c>
      <c r="F22">
        <f t="shared" si="1"/>
        <v>32630</v>
      </c>
      <c r="G22">
        <f t="shared" si="2"/>
        <v>-0.10352358400268713</v>
      </c>
      <c r="I22">
        <f>+G22</f>
        <v>-0.10352358400268713</v>
      </c>
      <c r="O22">
        <f t="shared" si="3"/>
        <v>-9.9971831514696505E-2</v>
      </c>
      <c r="Q22" s="2">
        <f t="shared" si="4"/>
        <v>35424.042999999998</v>
      </c>
      <c r="R22">
        <f t="shared" ref="R22:R31" si="5">+(O22-G22)^2</f>
        <v>1.2614945735947597E-5</v>
      </c>
    </row>
    <row r="23" spans="1:19" x14ac:dyDescent="0.2">
      <c r="A23" s="23" t="s">
        <v>32</v>
      </c>
      <c r="B23" s="15"/>
      <c r="C23" s="19">
        <v>50443.589</v>
      </c>
      <c r="D23" s="15">
        <v>1.6999999999999999E-3</v>
      </c>
      <c r="E23">
        <f t="shared" si="0"/>
        <v>32631.793363611792</v>
      </c>
      <c r="F23">
        <f t="shared" si="1"/>
        <v>32632</v>
      </c>
      <c r="G23">
        <f t="shared" si="2"/>
        <v>-0.10859477759368019</v>
      </c>
      <c r="I23">
        <f>+G23</f>
        <v>-0.10859477759368019</v>
      </c>
      <c r="O23">
        <f t="shared" si="3"/>
        <v>-9.9977846071630502E-2</v>
      </c>
      <c r="Q23" s="2">
        <f t="shared" si="4"/>
        <v>35425.089</v>
      </c>
      <c r="R23">
        <f t="shared" si="5"/>
        <v>7.4251508855693575E-5</v>
      </c>
    </row>
    <row r="24" spans="1:19" x14ac:dyDescent="0.2">
      <c r="A24" s="23" t="s">
        <v>32</v>
      </c>
      <c r="B24" s="15" t="s">
        <v>37</v>
      </c>
      <c r="C24" s="19">
        <v>50446.483399999997</v>
      </c>
      <c r="D24" s="15">
        <v>2.8999999999999998E-3</v>
      </c>
      <c r="E24">
        <f t="shared" si="0"/>
        <v>32637.300887778798</v>
      </c>
      <c r="F24">
        <f t="shared" si="1"/>
        <v>32637.5</v>
      </c>
      <c r="G24">
        <f t="shared" si="2"/>
        <v>-0.1046405599990976</v>
      </c>
      <c r="I24">
        <f>+G24</f>
        <v>-0.1046405599990976</v>
      </c>
      <c r="O24">
        <f t="shared" si="3"/>
        <v>-9.9994386103198982E-2</v>
      </c>
      <c r="Q24" s="2">
        <f t="shared" si="4"/>
        <v>35427.983399999997</v>
      </c>
      <c r="R24">
        <f t="shared" si="5"/>
        <v>2.1586931870929786E-5</v>
      </c>
    </row>
    <row r="25" spans="1:19" x14ac:dyDescent="0.2">
      <c r="A25" s="24" t="s">
        <v>33</v>
      </c>
      <c r="B25" s="15"/>
      <c r="C25" s="20">
        <v>50841.428</v>
      </c>
      <c r="D25" s="16">
        <v>6.4000000000000003E-3</v>
      </c>
      <c r="E25">
        <f t="shared" si="0"/>
        <v>33388.809638860228</v>
      </c>
      <c r="F25">
        <f t="shared" si="1"/>
        <v>33389</v>
      </c>
      <c r="G25">
        <f t="shared" si="2"/>
        <v>-0.10004155519709457</v>
      </c>
      <c r="I25">
        <f>+G25</f>
        <v>-0.10004155519709457</v>
      </c>
      <c r="O25">
        <f t="shared" si="3"/>
        <v>-0.10225435587114587</v>
      </c>
      <c r="Q25" s="2">
        <f t="shared" si="4"/>
        <v>35822.928</v>
      </c>
      <c r="R25">
        <f t="shared" si="5"/>
        <v>4.8964868230818952E-6</v>
      </c>
    </row>
    <row r="26" spans="1:19" x14ac:dyDescent="0.2">
      <c r="A26" s="24" t="s">
        <v>33</v>
      </c>
      <c r="B26" s="16" t="s">
        <v>37</v>
      </c>
      <c r="C26" s="20">
        <v>50848.5118</v>
      </c>
      <c r="D26" s="16">
        <v>8.0000000000000004E-4</v>
      </c>
      <c r="E26">
        <f t="shared" si="0"/>
        <v>33402.288839970744</v>
      </c>
      <c r="F26">
        <f t="shared" si="1"/>
        <v>33402.5</v>
      </c>
      <c r="G26">
        <f t="shared" si="2"/>
        <v>-0.11097211199376034</v>
      </c>
      <c r="I26">
        <f>+G26</f>
        <v>-0.11097211199376034</v>
      </c>
      <c r="O26">
        <f t="shared" si="3"/>
        <v>-0.10229495413045031</v>
      </c>
      <c r="Q26" s="2">
        <f t="shared" si="4"/>
        <v>35830.0118</v>
      </c>
      <c r="R26">
        <f t="shared" si="5"/>
        <v>7.529306858480301E-5</v>
      </c>
    </row>
    <row r="27" spans="1:19" x14ac:dyDescent="0.2">
      <c r="A27" s="22" t="s">
        <v>34</v>
      </c>
      <c r="C27" s="18">
        <v>50854.567999999999</v>
      </c>
      <c r="D27">
        <v>3.0000000000000001E-3</v>
      </c>
      <c r="E27">
        <f t="shared" si="0"/>
        <v>33413.812702553747</v>
      </c>
      <c r="F27">
        <f t="shared" si="1"/>
        <v>33414</v>
      </c>
      <c r="G27">
        <f t="shared" si="2"/>
        <v>-9.8431475198594853E-2</v>
      </c>
      <c r="J27">
        <f>+G27</f>
        <v>-9.8431475198594853E-2</v>
      </c>
      <c r="O27">
        <f t="shared" si="3"/>
        <v>-0.10232953783282075</v>
      </c>
      <c r="Q27" s="2">
        <f t="shared" si="4"/>
        <v>35836.067999999999</v>
      </c>
      <c r="R27">
        <f t="shared" si="5"/>
        <v>1.5194892300348177E-5</v>
      </c>
    </row>
    <row r="28" spans="1:19" x14ac:dyDescent="0.2">
      <c r="A28" s="22" t="s">
        <v>34</v>
      </c>
      <c r="C28" s="18">
        <v>50860.347900000001</v>
      </c>
      <c r="D28">
        <v>6.9999999999999999E-4</v>
      </c>
      <c r="E28">
        <f t="shared" si="0"/>
        <v>33424.810815783741</v>
      </c>
      <c r="F28">
        <f t="shared" si="1"/>
        <v>33425</v>
      </c>
      <c r="G28">
        <f t="shared" si="2"/>
        <v>-9.9423039995599538E-2</v>
      </c>
      <c r="J28">
        <f>+G28</f>
        <v>-9.9423039995599538E-2</v>
      </c>
      <c r="O28">
        <f t="shared" si="3"/>
        <v>-0.1023626178959577</v>
      </c>
      <c r="Q28" s="2">
        <f t="shared" si="4"/>
        <v>35841.847900000001</v>
      </c>
      <c r="R28">
        <f t="shared" si="5"/>
        <v>8.6411182322740984E-6</v>
      </c>
    </row>
    <row r="29" spans="1:19" x14ac:dyDescent="0.2">
      <c r="A29" s="25" t="s">
        <v>35</v>
      </c>
      <c r="C29" s="21">
        <v>52597.762999999999</v>
      </c>
      <c r="D29" s="14">
        <v>4.0000000000000002E-4</v>
      </c>
      <c r="E29">
        <f t="shared" si="0"/>
        <v>36730.800192296323</v>
      </c>
      <c r="F29">
        <f t="shared" si="1"/>
        <v>36731</v>
      </c>
      <c r="G29">
        <f t="shared" si="2"/>
        <v>-0.1050060607958585</v>
      </c>
      <c r="N29">
        <f>+G29</f>
        <v>-0.1050060607958585</v>
      </c>
      <c r="O29">
        <f t="shared" si="3"/>
        <v>-0.11230468050784387</v>
      </c>
      <c r="Q29" s="2">
        <f t="shared" si="4"/>
        <v>37579.262999999999</v>
      </c>
      <c r="R29">
        <f t="shared" si="5"/>
        <v>5.3269849700181344E-5</v>
      </c>
    </row>
    <row r="30" spans="1:19" x14ac:dyDescent="0.2">
      <c r="A30" s="24" t="s">
        <v>38</v>
      </c>
      <c r="B30" s="15" t="s">
        <v>39</v>
      </c>
      <c r="C30" s="19">
        <v>52597.762999999999</v>
      </c>
      <c r="D30" s="17">
        <v>4.0000000000000002E-4</v>
      </c>
      <c r="E30">
        <f t="shared" si="0"/>
        <v>36730.800192296323</v>
      </c>
      <c r="F30">
        <f t="shared" si="1"/>
        <v>36731</v>
      </c>
      <c r="G30">
        <f t="shared" si="2"/>
        <v>-0.1050060607958585</v>
      </c>
      <c r="I30">
        <f>+G30</f>
        <v>-0.1050060607958585</v>
      </c>
      <c r="O30">
        <f t="shared" si="3"/>
        <v>-0.11230468050784387</v>
      </c>
      <c r="Q30" s="2">
        <f t="shared" si="4"/>
        <v>37579.262999999999</v>
      </c>
      <c r="R30">
        <f t="shared" si="5"/>
        <v>5.3269849700181344E-5</v>
      </c>
    </row>
    <row r="31" spans="1:19" x14ac:dyDescent="0.2">
      <c r="A31" s="26" t="s">
        <v>36</v>
      </c>
      <c r="C31" s="27">
        <v>52947.031300000002</v>
      </c>
      <c r="D31">
        <v>1E-4</v>
      </c>
      <c r="E31">
        <f t="shared" si="0"/>
        <v>37395.395135296771</v>
      </c>
      <c r="F31">
        <f t="shared" si="1"/>
        <v>37395.5</v>
      </c>
      <c r="K31" s="28">
        <v>-5.5110134395363275E-2</v>
      </c>
      <c r="O31">
        <f t="shared" si="3"/>
        <v>-0.11430301704916218</v>
      </c>
      <c r="Q31" s="2">
        <f t="shared" si="4"/>
        <v>37928.531300000002</v>
      </c>
      <c r="R31">
        <f t="shared" si="5"/>
        <v>1.306517970654106E-2</v>
      </c>
    </row>
    <row r="32" spans="1:19" x14ac:dyDescent="0.2">
      <c r="A32" s="22"/>
      <c r="C32" s="18"/>
      <c r="Q32" s="2"/>
    </row>
    <row r="33" spans="1:17" x14ac:dyDescent="0.2">
      <c r="A33" s="22"/>
      <c r="Q33" s="2"/>
    </row>
    <row r="34" spans="1:17" x14ac:dyDescent="0.2">
      <c r="A34" s="22"/>
      <c r="Q34" s="2"/>
    </row>
    <row r="35" spans="1:17" x14ac:dyDescent="0.2">
      <c r="A35" s="22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R21" sqref="R2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29</v>
      </c>
      <c r="C1" t="s">
        <v>30</v>
      </c>
    </row>
    <row r="2" spans="1:18" x14ac:dyDescent="0.2">
      <c r="A2" t="s">
        <v>25</v>
      </c>
      <c r="B2" t="s">
        <v>31</v>
      </c>
    </row>
    <row r="4" spans="1:18" x14ac:dyDescent="0.2">
      <c r="A4" s="8" t="s">
        <v>0</v>
      </c>
      <c r="C4" s="11">
        <v>33294.42</v>
      </c>
      <c r="D4" s="12">
        <v>0.52553559679999995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>
        <v>0.52517999999999998</v>
      </c>
      <c r="D8" s="29" t="s">
        <v>43</v>
      </c>
    </row>
    <row r="10" spans="1:18" ht="13.5" thickBot="1" x14ac:dyDescent="0.25">
      <c r="C10" s="7" t="s">
        <v>20</v>
      </c>
      <c r="D10" s="7" t="s">
        <v>21</v>
      </c>
    </row>
    <row r="11" spans="1:18" x14ac:dyDescent="0.2">
      <c r="A11" t="s">
        <v>16</v>
      </c>
      <c r="C11">
        <f>INTERCEPT(G21:G999,$F21:$F999)</f>
        <v>-1.2524630382764574</v>
      </c>
      <c r="D11" s="6"/>
    </row>
    <row r="12" spans="1:18" x14ac:dyDescent="0.2">
      <c r="A12" t="s">
        <v>17</v>
      </c>
      <c r="C12">
        <f>SLOPE(G21:G999,$F21:$F999)</f>
        <v>3.6467431998607685E-5</v>
      </c>
      <c r="D12" s="6"/>
    </row>
    <row r="13" spans="1:18" x14ac:dyDescent="0.2">
      <c r="A13" t="s">
        <v>19</v>
      </c>
      <c r="C13" s="6" t="s">
        <v>14</v>
      </c>
      <c r="D13" s="6"/>
    </row>
    <row r="14" spans="1:18" x14ac:dyDescent="0.2">
      <c r="A14" t="s">
        <v>24</v>
      </c>
    </row>
    <row r="15" spans="1:18" x14ac:dyDescent="0.2">
      <c r="A15" s="3" t="s">
        <v>18</v>
      </c>
      <c r="C15" s="32">
        <v>52947.031300000002</v>
      </c>
      <c r="D15" s="18"/>
      <c r="Q15" t="s">
        <v>24</v>
      </c>
      <c r="R15">
        <f>SUM(R21:R268)</f>
        <v>5.0237873127197228E-4</v>
      </c>
    </row>
    <row r="16" spans="1:18" x14ac:dyDescent="0.2">
      <c r="A16" s="8" t="s">
        <v>4</v>
      </c>
      <c r="C16">
        <f>+C8+C12</f>
        <v>0.52521646743199857</v>
      </c>
      <c r="Q16" t="s">
        <v>47</v>
      </c>
      <c r="R16">
        <f>COUNT(R21:R430)</f>
        <v>10</v>
      </c>
    </row>
    <row r="17" spans="1:18" ht="13.5" thickBot="1" x14ac:dyDescent="0.25">
      <c r="Q17" t="s">
        <v>48</v>
      </c>
      <c r="R17">
        <f>SQRT(R15/(R16-1))</f>
        <v>7.4712689036213345E-3</v>
      </c>
    </row>
    <row r="18" spans="1:18" ht="14.25" thickTop="1" thickBot="1" x14ac:dyDescent="0.25">
      <c r="A18" s="8" t="s">
        <v>5</v>
      </c>
      <c r="C18" s="4">
        <f>+C15</f>
        <v>52947.031300000002</v>
      </c>
      <c r="D18" s="5">
        <f>+C16</f>
        <v>0.52521646743199857</v>
      </c>
    </row>
    <row r="19" spans="1:18" ht="13.5" thickTop="1" x14ac:dyDescent="0.2">
      <c r="C19">
        <f>COUNT(C21:C2191)</f>
        <v>11</v>
      </c>
    </row>
    <row r="20" spans="1:18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34" t="s">
        <v>49</v>
      </c>
    </row>
    <row r="21" spans="1:18" x14ac:dyDescent="0.2">
      <c r="A21" s="22" t="s">
        <v>12</v>
      </c>
      <c r="C21" s="18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H21">
        <v>0</v>
      </c>
      <c r="O21">
        <f t="shared" ref="O21:O31" si="2">+C$11+C$12*$F21</f>
        <v>-1.2524630382764574</v>
      </c>
      <c r="Q21" s="2">
        <f t="shared" ref="Q21:Q31" si="3">+C21-15018.5</f>
        <v>18275.919999999998</v>
      </c>
    </row>
    <row r="22" spans="1:18" x14ac:dyDescent="0.2">
      <c r="A22" s="23" t="s">
        <v>32</v>
      </c>
      <c r="B22" s="15"/>
      <c r="C22" s="19">
        <v>50442.542999999998</v>
      </c>
      <c r="D22" s="15">
        <v>5.4000000000000003E-3</v>
      </c>
      <c r="E22">
        <f t="shared" si="0"/>
        <v>32651.896492631098</v>
      </c>
      <c r="F22">
        <f t="shared" si="1"/>
        <v>32652</v>
      </c>
      <c r="G22">
        <f t="shared" ref="G22:G31" si="4">+C22-(C$7+F22*C$8)</f>
        <v>-5.4360000001906883E-2</v>
      </c>
      <c r="I22">
        <f>+G22</f>
        <v>-5.4360000001906883E-2</v>
      </c>
      <c r="O22">
        <f t="shared" si="2"/>
        <v>-6.1728448657919266E-2</v>
      </c>
      <c r="Q22" s="2">
        <f t="shared" si="3"/>
        <v>35424.042999999998</v>
      </c>
      <c r="R22">
        <f t="shared" ref="R22:R31" si="5">+(O22-G22)^2</f>
        <v>5.4294035596290691E-5</v>
      </c>
    </row>
    <row r="23" spans="1:18" x14ac:dyDescent="0.2">
      <c r="A23" s="23" t="s">
        <v>32</v>
      </c>
      <c r="B23" s="15"/>
      <c r="C23" s="19">
        <v>50443.589</v>
      </c>
      <c r="D23" s="15">
        <v>1.6999999999999999E-3</v>
      </c>
      <c r="E23">
        <f t="shared" si="0"/>
        <v>32653.88819071557</v>
      </c>
      <c r="F23">
        <f t="shared" si="1"/>
        <v>32654</v>
      </c>
      <c r="G23">
        <f t="shared" si="4"/>
        <v>-5.8719999993627425E-2</v>
      </c>
      <c r="I23">
        <f>+G23</f>
        <v>-5.8719999993627425E-2</v>
      </c>
      <c r="O23">
        <f t="shared" si="2"/>
        <v>-6.165551379392209E-2</v>
      </c>
      <c r="Q23" s="2">
        <f t="shared" si="3"/>
        <v>35425.089</v>
      </c>
      <c r="R23">
        <f t="shared" si="5"/>
        <v>8.6172412717204241E-6</v>
      </c>
    </row>
    <row r="24" spans="1:18" x14ac:dyDescent="0.2">
      <c r="A24" s="23" t="s">
        <v>32</v>
      </c>
      <c r="B24" s="15" t="s">
        <v>37</v>
      </c>
      <c r="C24" s="19">
        <v>50446.483399999997</v>
      </c>
      <c r="D24" s="15">
        <v>2.8999999999999998E-3</v>
      </c>
      <c r="E24">
        <f t="shared" si="0"/>
        <v>32659.399444000152</v>
      </c>
      <c r="F24">
        <f t="shared" si="1"/>
        <v>32659.5</v>
      </c>
      <c r="G24">
        <f t="shared" si="4"/>
        <v>-5.281000000104541E-2</v>
      </c>
      <c r="I24">
        <f>+G24</f>
        <v>-5.281000000104541E-2</v>
      </c>
      <c r="O24">
        <f t="shared" si="2"/>
        <v>-6.1454942917929856E-2</v>
      </c>
      <c r="Q24" s="2">
        <f t="shared" si="3"/>
        <v>35427.983399999997</v>
      </c>
      <c r="R24">
        <f t="shared" si="5"/>
        <v>7.4735038036190552E-5</v>
      </c>
    </row>
    <row r="25" spans="1:18" x14ac:dyDescent="0.2">
      <c r="A25" s="24" t="s">
        <v>33</v>
      </c>
      <c r="B25" s="15"/>
      <c r="C25" s="20">
        <v>50841.428</v>
      </c>
      <c r="D25" s="16">
        <v>6.4000000000000003E-3</v>
      </c>
      <c r="E25">
        <f t="shared" si="0"/>
        <v>33411.417037967942</v>
      </c>
      <c r="F25">
        <f t="shared" si="1"/>
        <v>33411.5</v>
      </c>
      <c r="G25">
        <f t="shared" si="4"/>
        <v>-4.3569999994360842E-2</v>
      </c>
      <c r="I25">
        <f>+G25</f>
        <v>-4.3569999994360842E-2</v>
      </c>
      <c r="O25">
        <f t="shared" si="2"/>
        <v>-3.4031434054976772E-2</v>
      </c>
      <c r="Q25" s="2">
        <f t="shared" si="3"/>
        <v>35822.928</v>
      </c>
      <c r="R25">
        <f t="shared" si="5"/>
        <v>9.0984240179977898E-5</v>
      </c>
    </row>
    <row r="26" spans="1:18" x14ac:dyDescent="0.2">
      <c r="A26" s="24" t="s">
        <v>33</v>
      </c>
      <c r="B26" s="16" t="s">
        <v>37</v>
      </c>
      <c r="C26" s="20">
        <v>50848.5118</v>
      </c>
      <c r="D26" s="16">
        <v>8.0000000000000004E-4</v>
      </c>
      <c r="E26">
        <f t="shared" si="0"/>
        <v>33424.905365779356</v>
      </c>
      <c r="F26">
        <f t="shared" si="1"/>
        <v>33425</v>
      </c>
      <c r="G26">
        <f t="shared" si="4"/>
        <v>-4.9699999995937105E-2</v>
      </c>
      <c r="I26">
        <f>+G26</f>
        <v>-4.9699999995937105E-2</v>
      </c>
      <c r="O26">
        <f t="shared" si="2"/>
        <v>-3.3539123722995612E-2</v>
      </c>
      <c r="Q26" s="2">
        <f t="shared" si="3"/>
        <v>35830.0118</v>
      </c>
      <c r="R26">
        <f t="shared" si="5"/>
        <v>2.6117392190932331E-4</v>
      </c>
    </row>
    <row r="27" spans="1:18" x14ac:dyDescent="0.2">
      <c r="A27" s="22" t="s">
        <v>34</v>
      </c>
      <c r="C27" s="18">
        <v>50854.567999999999</v>
      </c>
      <c r="D27">
        <v>3.0000000000000001E-3</v>
      </c>
      <c r="E27">
        <f t="shared" si="0"/>
        <v>33436.437031113142</v>
      </c>
      <c r="F27">
        <f t="shared" si="1"/>
        <v>33436.5</v>
      </c>
      <c r="G27">
        <f t="shared" si="4"/>
        <v>-3.3069999997678678E-2</v>
      </c>
      <c r="J27">
        <f>+G27</f>
        <v>-3.3069999997678678E-2</v>
      </c>
      <c r="O27">
        <f t="shared" si="2"/>
        <v>-3.3119748255011627E-2</v>
      </c>
      <c r="Q27" s="2">
        <f t="shared" si="3"/>
        <v>35836.067999999999</v>
      </c>
      <c r="R27">
        <f t="shared" si="5"/>
        <v>2.4748891076652991E-9</v>
      </c>
    </row>
    <row r="28" spans="1:18" x14ac:dyDescent="0.2">
      <c r="A28" s="22" t="s">
        <v>34</v>
      </c>
      <c r="C28" s="18">
        <v>50860.347900000001</v>
      </c>
      <c r="D28">
        <v>6.9999999999999999E-4</v>
      </c>
      <c r="E28">
        <f t="shared" si="0"/>
        <v>33447.442591111627</v>
      </c>
      <c r="F28">
        <f t="shared" si="1"/>
        <v>33447.5</v>
      </c>
      <c r="G28">
        <f t="shared" si="4"/>
        <v>-3.0149999998684507E-2</v>
      </c>
      <c r="J28">
        <f>+G28</f>
        <v>-3.0149999998684507E-2</v>
      </c>
      <c r="O28">
        <f t="shared" si="2"/>
        <v>-3.2718606503026937E-2</v>
      </c>
      <c r="Q28" s="2">
        <f t="shared" si="3"/>
        <v>35841.847900000001</v>
      </c>
      <c r="R28">
        <f t="shared" si="5"/>
        <v>6.5977393741502377E-6</v>
      </c>
    </row>
    <row r="29" spans="1:18" x14ac:dyDescent="0.2">
      <c r="A29" s="25" t="s">
        <v>35</v>
      </c>
      <c r="C29" s="21">
        <v>52597.762999999999</v>
      </c>
      <c r="D29" s="14">
        <v>4.0000000000000002E-4</v>
      </c>
      <c r="E29">
        <f t="shared" si="0"/>
        <v>36755.670436802626</v>
      </c>
      <c r="F29">
        <f t="shared" si="1"/>
        <v>36755.5</v>
      </c>
      <c r="G29">
        <f t="shared" si="4"/>
        <v>8.9509999997972045E-2</v>
      </c>
      <c r="N29">
        <f>+G29</f>
        <v>8.9509999997972045E-2</v>
      </c>
      <c r="O29">
        <f t="shared" si="2"/>
        <v>8.7915658548367359E-2</v>
      </c>
      <c r="Q29" s="2">
        <f t="shared" si="3"/>
        <v>37579.262999999999</v>
      </c>
      <c r="R29">
        <f t="shared" si="5"/>
        <v>2.5419246579275711E-6</v>
      </c>
    </row>
    <row r="30" spans="1:18" x14ac:dyDescent="0.2">
      <c r="A30" s="24" t="s">
        <v>38</v>
      </c>
      <c r="B30" s="15" t="s">
        <v>39</v>
      </c>
      <c r="C30" s="19">
        <v>52597.762999999999</v>
      </c>
      <c r="D30" s="17">
        <v>4.0000000000000002E-4</v>
      </c>
      <c r="E30">
        <f t="shared" si="0"/>
        <v>36755.670436802626</v>
      </c>
      <c r="F30">
        <f t="shared" si="1"/>
        <v>36755.5</v>
      </c>
      <c r="G30">
        <f t="shared" si="4"/>
        <v>8.9509999997972045E-2</v>
      </c>
      <c r="I30">
        <f>+G30</f>
        <v>8.9509999997972045E-2</v>
      </c>
      <c r="O30">
        <f t="shared" si="2"/>
        <v>8.7915658548367359E-2</v>
      </c>
      <c r="Q30" s="2">
        <f t="shared" si="3"/>
        <v>37579.262999999999</v>
      </c>
      <c r="R30">
        <f t="shared" si="5"/>
        <v>2.5419246579275711E-6</v>
      </c>
    </row>
    <row r="31" spans="1:18" x14ac:dyDescent="0.2">
      <c r="A31" s="26" t="s">
        <v>36</v>
      </c>
      <c r="C31" s="31">
        <v>52947.031300000002</v>
      </c>
      <c r="D31">
        <v>1E-4</v>
      </c>
      <c r="E31">
        <f t="shared" si="0"/>
        <v>37420.71537377662</v>
      </c>
      <c r="F31">
        <f t="shared" si="1"/>
        <v>37420.5</v>
      </c>
      <c r="G31">
        <f t="shared" si="4"/>
        <v>0.11311000000569038</v>
      </c>
      <c r="K31" s="22">
        <f>G31</f>
        <v>0.11311000000569038</v>
      </c>
      <c r="O31">
        <f t="shared" si="2"/>
        <v>0.11216650082744151</v>
      </c>
      <c r="Q31" s="2">
        <f t="shared" si="3"/>
        <v>37928.531300000002</v>
      </c>
      <c r="R31">
        <f t="shared" si="5"/>
        <v>8.9019069935630134E-7</v>
      </c>
    </row>
    <row r="32" spans="1:18" x14ac:dyDescent="0.2">
      <c r="A32" s="22"/>
      <c r="C32" s="18"/>
      <c r="Q32" s="2"/>
    </row>
    <row r="33" spans="1:17" x14ac:dyDescent="0.2">
      <c r="A33" s="22"/>
      <c r="C33" s="27"/>
      <c r="Q33" s="2"/>
    </row>
    <row r="34" spans="1:17" x14ac:dyDescent="0.2">
      <c r="A34" s="22"/>
      <c r="Q34" s="2"/>
    </row>
    <row r="35" spans="1:17" x14ac:dyDescent="0.2">
      <c r="A35" s="22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C8" sqref="C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50</v>
      </c>
    </row>
    <row r="2" spans="1:18" x14ac:dyDescent="0.2">
      <c r="A2" t="s">
        <v>25</v>
      </c>
      <c r="B2" t="s">
        <v>31</v>
      </c>
      <c r="C2" t="s">
        <v>30</v>
      </c>
    </row>
    <row r="3" spans="1:18" ht="13.5" thickBot="1" x14ac:dyDescent="0.25"/>
    <row r="4" spans="1:18" x14ac:dyDescent="0.2">
      <c r="A4" s="8" t="s">
        <v>0</v>
      </c>
      <c r="C4" s="11">
        <v>33294.42</v>
      </c>
      <c r="D4" s="12">
        <v>0.52553559679999995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>
        <v>0.52521646743199857</v>
      </c>
      <c r="D8" s="29"/>
    </row>
    <row r="10" spans="1:18" ht="13.5" thickBot="1" x14ac:dyDescent="0.25">
      <c r="C10" s="7" t="s">
        <v>20</v>
      </c>
      <c r="D10" s="7" t="s">
        <v>21</v>
      </c>
    </row>
    <row r="11" spans="1:18" x14ac:dyDescent="0.2">
      <c r="A11" t="s">
        <v>16</v>
      </c>
      <c r="C11">
        <f>INTERCEPT(G21:G999,$F21:$F999)</f>
        <v>0.29705076533433333</v>
      </c>
      <c r="D11" s="6"/>
    </row>
    <row r="12" spans="1:18" x14ac:dyDescent="0.2">
      <c r="A12" t="s">
        <v>17</v>
      </c>
      <c r="C12">
        <f>SLOPE(G21:G999,$F21:$F999)</f>
        <v>-7.0461234892830184E-6</v>
      </c>
      <c r="D12" s="6"/>
    </row>
    <row r="13" spans="1:18" x14ac:dyDescent="0.2">
      <c r="A13" t="s">
        <v>19</v>
      </c>
      <c r="C13" s="6" t="s">
        <v>14</v>
      </c>
      <c r="D13" s="6"/>
    </row>
    <row r="14" spans="1:18" x14ac:dyDescent="0.2">
      <c r="A14" t="s">
        <v>24</v>
      </c>
    </row>
    <row r="15" spans="1:18" x14ac:dyDescent="0.2">
      <c r="A15" s="3" t="s">
        <v>18</v>
      </c>
      <c r="C15" s="35">
        <f>(C7+C11)+(C8+C12)*INT(MAX(F21:F3533))</f>
        <v>53763.178618000558</v>
      </c>
      <c r="D15" s="18"/>
      <c r="Q15" t="s">
        <v>24</v>
      </c>
      <c r="R15">
        <f>SUM(R21:R268)</f>
        <v>5.5823824988083578E-3</v>
      </c>
    </row>
    <row r="16" spans="1:18" x14ac:dyDescent="0.2">
      <c r="A16" s="8" t="s">
        <v>4</v>
      </c>
      <c r="C16" s="36">
        <f>+C8+C12</f>
        <v>0.52520942130850934</v>
      </c>
      <c r="Q16" t="s">
        <v>47</v>
      </c>
      <c r="R16">
        <f>COUNT(R21:R430)</f>
        <v>12</v>
      </c>
    </row>
    <row r="17" spans="1:18" ht="13.5" thickBot="1" x14ac:dyDescent="0.25">
      <c r="Q17" t="s">
        <v>48</v>
      </c>
      <c r="R17">
        <f>SQRT(R15/(R16-1))</f>
        <v>2.2527523567260718E-2</v>
      </c>
    </row>
    <row r="18" spans="1:18" ht="14.25" thickTop="1" thickBot="1" x14ac:dyDescent="0.25">
      <c r="A18" s="8" t="s">
        <v>5</v>
      </c>
      <c r="C18" s="4">
        <f>+C15</f>
        <v>53763.178618000558</v>
      </c>
      <c r="D18" s="5">
        <f>+C16</f>
        <v>0.52520942130850934</v>
      </c>
    </row>
    <row r="19" spans="1:18" ht="13.5" thickTop="1" x14ac:dyDescent="0.2">
      <c r="C19">
        <f>COUNT(C21:C2191)</f>
        <v>13</v>
      </c>
    </row>
    <row r="20" spans="1:18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34" t="s">
        <v>49</v>
      </c>
    </row>
    <row r="21" spans="1:18" x14ac:dyDescent="0.2">
      <c r="A21" s="22" t="s">
        <v>12</v>
      </c>
      <c r="C21" s="18">
        <v>33294.42</v>
      </c>
      <c r="D21" s="13"/>
      <c r="E21">
        <f t="shared" ref="E21:E31" si="0">+(C21-C$7)/C$8</f>
        <v>0</v>
      </c>
      <c r="F21">
        <f t="shared" ref="F21:F33" si="1">ROUND(2*E21,0)/2</f>
        <v>0</v>
      </c>
      <c r="H21">
        <v>0</v>
      </c>
      <c r="O21">
        <f t="shared" ref="O21:O31" si="2">+C$11+C$12*$F21</f>
        <v>0.29705076533433333</v>
      </c>
      <c r="Q21" s="2">
        <f t="shared" ref="Q21:Q31" si="3">+C21-15018.5</f>
        <v>18275.919999999998</v>
      </c>
    </row>
    <row r="22" spans="1:18" x14ac:dyDescent="0.2">
      <c r="A22" s="23" t="s">
        <v>32</v>
      </c>
      <c r="B22" s="15"/>
      <c r="C22" s="19">
        <v>50442.542999999998</v>
      </c>
      <c r="D22" s="15">
        <v>5.4000000000000003E-3</v>
      </c>
      <c r="E22">
        <f t="shared" si="0"/>
        <v>32649.629368713999</v>
      </c>
      <c r="F22">
        <f t="shared" si="1"/>
        <v>32649.5</v>
      </c>
      <c r="G22">
        <f t="shared" ref="G22:G33" si="4">+C22-(C$7+F22*C$8)</f>
        <v>6.7946578965347726E-2</v>
      </c>
      <c r="I22">
        <f>+G22</f>
        <v>6.7946578965347726E-2</v>
      </c>
      <c r="O22">
        <f t="shared" si="2"/>
        <v>6.6998356470987425E-2</v>
      </c>
      <c r="Q22" s="2">
        <f t="shared" si="3"/>
        <v>35424.042999999998</v>
      </c>
      <c r="R22">
        <f t="shared" ref="R22:R31" si="5">+(O22-G22)^2</f>
        <v>8.9912589881087155E-7</v>
      </c>
    </row>
    <row r="23" spans="1:18" x14ac:dyDescent="0.2">
      <c r="A23" s="23" t="s">
        <v>32</v>
      </c>
      <c r="B23" s="15"/>
      <c r="C23" s="19">
        <v>50443.589</v>
      </c>
      <c r="D23" s="15">
        <v>1.6999999999999999E-3</v>
      </c>
      <c r="E23">
        <f t="shared" si="0"/>
        <v>32651.620928508604</v>
      </c>
      <c r="F23">
        <f t="shared" si="1"/>
        <v>32651.5</v>
      </c>
      <c r="G23">
        <f t="shared" si="4"/>
        <v>6.3513644105114508E-2</v>
      </c>
      <c r="I23">
        <f>+G23</f>
        <v>6.3513644105114508E-2</v>
      </c>
      <c r="O23">
        <f t="shared" si="2"/>
        <v>6.6984264224008855E-2</v>
      </c>
      <c r="Q23" s="2">
        <f t="shared" si="3"/>
        <v>35425.089</v>
      </c>
      <c r="R23">
        <f t="shared" si="5"/>
        <v>1.2045204009674208E-5</v>
      </c>
    </row>
    <row r="24" spans="1:18" x14ac:dyDescent="0.2">
      <c r="A24" s="23" t="s">
        <v>32</v>
      </c>
      <c r="B24" s="15" t="s">
        <v>37</v>
      </c>
      <c r="C24" s="19">
        <v>50446.483399999997</v>
      </c>
      <c r="D24" s="15">
        <v>2.8999999999999998E-3</v>
      </c>
      <c r="E24">
        <f t="shared" si="0"/>
        <v>32657.131799129529</v>
      </c>
      <c r="F24">
        <f t="shared" si="1"/>
        <v>32657</v>
      </c>
      <c r="G24">
        <f t="shared" si="4"/>
        <v>6.9223073223838583E-2</v>
      </c>
      <c r="I24">
        <f>+G24</f>
        <v>6.9223073223838583E-2</v>
      </c>
      <c r="O24">
        <f t="shared" si="2"/>
        <v>6.6945510544817788E-2</v>
      </c>
      <c r="Q24" s="2">
        <f t="shared" si="3"/>
        <v>35427.983399999997</v>
      </c>
      <c r="R24">
        <f t="shared" si="5"/>
        <v>5.1872917568683803E-6</v>
      </c>
    </row>
    <row r="25" spans="1:18" x14ac:dyDescent="0.2">
      <c r="A25" s="24" t="s">
        <v>33</v>
      </c>
      <c r="B25" s="15"/>
      <c r="C25" s="20">
        <v>50841.428</v>
      </c>
      <c r="D25" s="16">
        <v>6.4000000000000003E-3</v>
      </c>
      <c r="E25">
        <f t="shared" si="0"/>
        <v>33409.097178149445</v>
      </c>
      <c r="F25">
        <f t="shared" si="1"/>
        <v>33409</v>
      </c>
      <c r="G25">
        <f t="shared" si="4"/>
        <v>5.1039564365055412E-2</v>
      </c>
      <c r="I25">
        <f>+G25</f>
        <v>5.1039564365055412E-2</v>
      </c>
      <c r="O25">
        <f t="shared" si="2"/>
        <v>6.1646825680876982E-2</v>
      </c>
      <c r="Q25" s="2">
        <f t="shared" si="3"/>
        <v>35822.928</v>
      </c>
      <c r="R25">
        <f t="shared" si="5"/>
        <v>1.1251399262212474E-4</v>
      </c>
    </row>
    <row r="26" spans="1:18" x14ac:dyDescent="0.2">
      <c r="A26" s="24" t="s">
        <v>33</v>
      </c>
      <c r="B26" s="16" t="s">
        <v>37</v>
      </c>
      <c r="C26" s="20">
        <v>50848.5118</v>
      </c>
      <c r="D26" s="16">
        <v>8.0000000000000004E-4</v>
      </c>
      <c r="E26">
        <f t="shared" si="0"/>
        <v>33422.584569423816</v>
      </c>
      <c r="F26">
        <f t="shared" si="1"/>
        <v>33422.5</v>
      </c>
      <c r="G26">
        <f t="shared" si="4"/>
        <v>4.4417254030122422E-2</v>
      </c>
      <c r="I26">
        <f>+G26</f>
        <v>4.4417254030122422E-2</v>
      </c>
      <c r="O26">
        <f t="shared" si="2"/>
        <v>6.1551703013771664E-2</v>
      </c>
      <c r="Q26" s="2">
        <f t="shared" si="3"/>
        <v>35830.0118</v>
      </c>
      <c r="R26">
        <f t="shared" si="5"/>
        <v>2.9358934197327855E-4</v>
      </c>
    </row>
    <row r="27" spans="1:18" x14ac:dyDescent="0.2">
      <c r="A27" s="22" t="s">
        <v>34</v>
      </c>
      <c r="C27" s="18">
        <v>50854.567999999999</v>
      </c>
      <c r="D27">
        <v>3.0000000000000001E-3</v>
      </c>
      <c r="E27">
        <f t="shared" si="0"/>
        <v>33434.115434077794</v>
      </c>
      <c r="F27">
        <f t="shared" si="1"/>
        <v>33434</v>
      </c>
      <c r="G27">
        <f t="shared" si="4"/>
        <v>6.0627878556260839E-2</v>
      </c>
      <c r="J27">
        <f>+G27</f>
        <v>6.0627878556260839E-2</v>
      </c>
      <c r="O27">
        <f t="shared" si="2"/>
        <v>6.1470672593644887E-2</v>
      </c>
      <c r="Q27" s="2">
        <f t="shared" si="3"/>
        <v>35836.067999999999</v>
      </c>
      <c r="R27">
        <f t="shared" si="5"/>
        <v>7.1030178945010434E-7</v>
      </c>
    </row>
    <row r="28" spans="1:18" x14ac:dyDescent="0.2">
      <c r="A28" s="22" t="s">
        <v>34</v>
      </c>
      <c r="C28" s="18">
        <v>50860.347900000001</v>
      </c>
      <c r="D28">
        <v>6.9999999999999999E-4</v>
      </c>
      <c r="E28">
        <f t="shared" si="0"/>
        <v>33445.120229925611</v>
      </c>
      <c r="F28">
        <f t="shared" si="1"/>
        <v>33445</v>
      </c>
      <c r="G28">
        <f t="shared" si="4"/>
        <v>6.3146736814815085E-2</v>
      </c>
      <c r="J28">
        <f>+G28</f>
        <v>6.3146736814815085E-2</v>
      </c>
      <c r="O28">
        <f t="shared" si="2"/>
        <v>6.1393165235262781E-2</v>
      </c>
      <c r="Q28" s="2">
        <f t="shared" si="3"/>
        <v>35841.847900000001</v>
      </c>
      <c r="R28">
        <f t="shared" si="5"/>
        <v>3.0750132846135637E-6</v>
      </c>
    </row>
    <row r="29" spans="1:18" x14ac:dyDescent="0.2">
      <c r="A29" s="25" t="s">
        <v>35</v>
      </c>
      <c r="C29" s="21">
        <v>52597.762999999999</v>
      </c>
      <c r="D29" s="14">
        <v>4.0000000000000002E-4</v>
      </c>
      <c r="E29">
        <f t="shared" si="0"/>
        <v>36753.118374947495</v>
      </c>
      <c r="F29">
        <f t="shared" si="1"/>
        <v>36753</v>
      </c>
      <c r="G29">
        <f t="shared" si="4"/>
        <v>6.2172471756639425E-2</v>
      </c>
      <c r="N29">
        <f>+G29</f>
        <v>6.2172471756639425E-2</v>
      </c>
      <c r="O29">
        <f t="shared" si="2"/>
        <v>3.808458873271453E-2</v>
      </c>
      <c r="Q29" s="2">
        <f t="shared" si="3"/>
        <v>37579.262999999999</v>
      </c>
      <c r="R29">
        <f t="shared" si="5"/>
        <v>5.8022610857428908E-4</v>
      </c>
    </row>
    <row r="30" spans="1:18" x14ac:dyDescent="0.2">
      <c r="A30" s="24" t="s">
        <v>38</v>
      </c>
      <c r="B30" s="15" t="s">
        <v>39</v>
      </c>
      <c r="C30" s="19">
        <v>52597.762999999999</v>
      </c>
      <c r="D30" s="17">
        <v>4.0000000000000002E-4</v>
      </c>
      <c r="E30">
        <f t="shared" si="0"/>
        <v>36753.118374947495</v>
      </c>
      <c r="F30">
        <f t="shared" si="1"/>
        <v>36753</v>
      </c>
      <c r="G30">
        <f t="shared" si="4"/>
        <v>6.2172471756639425E-2</v>
      </c>
      <c r="I30">
        <f>+G30</f>
        <v>6.2172471756639425E-2</v>
      </c>
      <c r="O30">
        <f t="shared" si="2"/>
        <v>3.808458873271453E-2</v>
      </c>
      <c r="Q30" s="2">
        <f t="shared" si="3"/>
        <v>37579.262999999999</v>
      </c>
      <c r="R30">
        <f t="shared" si="5"/>
        <v>5.8022610857428908E-4</v>
      </c>
    </row>
    <row r="31" spans="1:18" x14ac:dyDescent="0.2">
      <c r="A31" s="26" t="s">
        <v>36</v>
      </c>
      <c r="C31" s="31">
        <v>52947.031300000002</v>
      </c>
      <c r="D31">
        <v>1E-4</v>
      </c>
      <c r="E31">
        <f t="shared" si="0"/>
        <v>37418.117135758868</v>
      </c>
      <c r="F31">
        <f t="shared" si="1"/>
        <v>37418</v>
      </c>
      <c r="G31">
        <f t="shared" si="4"/>
        <v>6.1521629482740536E-2</v>
      </c>
      <c r="K31" s="22">
        <f>G31</f>
        <v>6.1521629482740536E-2</v>
      </c>
      <c r="O31">
        <f t="shared" si="2"/>
        <v>3.3398916612341345E-2</v>
      </c>
      <c r="Q31" s="2">
        <f t="shared" si="3"/>
        <v>37928.531300000002</v>
      </c>
      <c r="R31">
        <f t="shared" si="5"/>
        <v>7.9088697919091637E-4</v>
      </c>
    </row>
    <row r="32" spans="1:18" x14ac:dyDescent="0.2">
      <c r="A32" s="37" t="s">
        <v>51</v>
      </c>
      <c r="B32" s="39" t="s">
        <v>52</v>
      </c>
      <c r="C32" s="38">
        <v>53354.527399999999</v>
      </c>
      <c r="D32" s="18">
        <v>1E-4</v>
      </c>
      <c r="E32">
        <f>+(C32-C$7)/C$8</f>
        <v>38193.980280325552</v>
      </c>
      <c r="F32">
        <f t="shared" si="1"/>
        <v>38194</v>
      </c>
      <c r="K32" s="28">
        <v>-1.03570977516938E-2</v>
      </c>
      <c r="O32">
        <f>+C$11+C$12*$F32</f>
        <v>2.7931124784657702E-2</v>
      </c>
      <c r="Q32" s="2">
        <f>+C32-15018.5</f>
        <v>38336.027399999999</v>
      </c>
      <c r="R32">
        <f>+(O32-G32)^2</f>
        <v>7.8014773173611975E-4</v>
      </c>
    </row>
    <row r="33" spans="1:18" x14ac:dyDescent="0.2">
      <c r="A33" s="40" t="s">
        <v>53</v>
      </c>
      <c r="B33" s="6" t="s">
        <v>37</v>
      </c>
      <c r="C33" s="18">
        <v>53763.392</v>
      </c>
      <c r="D33" s="18">
        <v>5.0000000000000001E-4</v>
      </c>
      <c r="E33">
        <f>+(C33-C$7)/C$8</f>
        <v>38972.449017223902</v>
      </c>
      <c r="F33">
        <f t="shared" si="1"/>
        <v>38972.5</v>
      </c>
      <c r="G33">
        <f t="shared" si="4"/>
        <v>-2.6776993567182217E-2</v>
      </c>
      <c r="J33" s="22">
        <f>G33</f>
        <v>-2.6776993567182217E-2</v>
      </c>
      <c r="O33">
        <f>+C$11+C$12*$F33</f>
        <v>2.2445717648250874E-2</v>
      </c>
      <c r="Q33" s="2">
        <f>+C33-15018.5</f>
        <v>38744.892</v>
      </c>
      <c r="R33">
        <f>+(O33-G33)^2</f>
        <v>2.4228752993979224E-3</v>
      </c>
    </row>
    <row r="34" spans="1:18" x14ac:dyDescent="0.2">
      <c r="A34" s="22"/>
      <c r="Q34" s="2"/>
    </row>
    <row r="35" spans="1:18" x14ac:dyDescent="0.2">
      <c r="A35" s="22"/>
      <c r="Q35" s="2"/>
    </row>
    <row r="36" spans="1:18" x14ac:dyDescent="0.2">
      <c r="Q36" s="2"/>
    </row>
    <row r="37" spans="1:18" x14ac:dyDescent="0.2">
      <c r="D37" s="6"/>
    </row>
    <row r="38" spans="1:18" x14ac:dyDescent="0.2">
      <c r="D38" s="6"/>
    </row>
    <row r="39" spans="1:18" x14ac:dyDescent="0.2">
      <c r="D39" s="6"/>
    </row>
    <row r="40" spans="1:18" x14ac:dyDescent="0.2">
      <c r="D40" s="6"/>
    </row>
    <row r="41" spans="1:18" x14ac:dyDescent="0.2">
      <c r="D41" s="6"/>
    </row>
    <row r="42" spans="1:18" x14ac:dyDescent="0.2">
      <c r="D42" s="6"/>
    </row>
    <row r="43" spans="1:18" x14ac:dyDescent="0.2">
      <c r="D43" s="6"/>
    </row>
    <row r="44" spans="1:18" x14ac:dyDescent="0.2">
      <c r="D44" s="6"/>
    </row>
    <row r="45" spans="1:18" x14ac:dyDescent="0.2">
      <c r="D45" s="6"/>
    </row>
    <row r="46" spans="1:18" x14ac:dyDescent="0.2">
      <c r="D46" s="6"/>
    </row>
    <row r="47" spans="1:18" x14ac:dyDescent="0.2">
      <c r="D47" s="6"/>
    </row>
    <row r="48" spans="1:18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29</v>
      </c>
      <c r="C1" t="s">
        <v>30</v>
      </c>
    </row>
    <row r="2" spans="1:4" x14ac:dyDescent="0.2">
      <c r="A2" t="s">
        <v>25</v>
      </c>
      <c r="B2" t="s">
        <v>31</v>
      </c>
    </row>
    <row r="4" spans="1:4" x14ac:dyDescent="0.2">
      <c r="A4" s="8" t="s">
        <v>0</v>
      </c>
      <c r="C4" s="11">
        <v>33294.42</v>
      </c>
      <c r="D4" s="12">
        <v>0.52553559679999995</v>
      </c>
    </row>
    <row r="6" spans="1:4" x14ac:dyDescent="0.2">
      <c r="A6" s="8" t="s">
        <v>1</v>
      </c>
      <c r="D6">
        <v>0.52553216999999997</v>
      </c>
    </row>
    <row r="7" spans="1:4" x14ac:dyDescent="0.2">
      <c r="A7" t="s">
        <v>2</v>
      </c>
      <c r="C7">
        <f>+C4</f>
        <v>33294.42</v>
      </c>
    </row>
    <row r="8" spans="1:4" x14ac:dyDescent="0.2">
      <c r="A8" t="s">
        <v>3</v>
      </c>
      <c r="C8">
        <v>0.52553216999999997</v>
      </c>
      <c r="D8" s="29" t="s">
        <v>45</v>
      </c>
    </row>
    <row r="9" spans="1:4" x14ac:dyDescent="0.2">
      <c r="D9" s="33" t="s">
        <v>46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INTERCEPT(G21:G999,$F21:$F999)</f>
        <v>-9.9149035228240812E-2</v>
      </c>
      <c r="D11" s="6"/>
    </row>
    <row r="12" spans="1:4" x14ac:dyDescent="0.2">
      <c r="A12" t="s">
        <v>17</v>
      </c>
      <c r="C12">
        <f>SLOPE(G21:G999,$F21:$F999)</f>
        <v>3.2848359205384302E-6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3" t="s">
        <v>18</v>
      </c>
      <c r="C15" s="32">
        <v>52947.031300000002</v>
      </c>
      <c r="D15" s="18"/>
    </row>
    <row r="16" spans="1:4" x14ac:dyDescent="0.2">
      <c r="A16" s="8" t="s">
        <v>4</v>
      </c>
      <c r="C16">
        <f>+C8+C12</f>
        <v>0.52553545483592046</v>
      </c>
    </row>
    <row r="17" spans="1:17" ht="13.5" thickBot="1" x14ac:dyDescent="0.25"/>
    <row r="18" spans="1:17" x14ac:dyDescent="0.2">
      <c r="A18" s="8" t="s">
        <v>5</v>
      </c>
      <c r="C18" s="4">
        <f>+C15</f>
        <v>52947.031300000002</v>
      </c>
      <c r="D18" s="5">
        <f>+C16</f>
        <v>0.52553545483592046</v>
      </c>
    </row>
    <row r="19" spans="1:17" ht="13.5" thickTop="1" x14ac:dyDescent="0.2">
      <c r="C19">
        <f>COUNT(C21:C2191)</f>
        <v>11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s="22" t="s">
        <v>12</v>
      </c>
      <c r="C21" s="18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H21">
        <v>0</v>
      </c>
      <c r="O21">
        <f t="shared" ref="O21:O31" si="2">+C$11+C$12*$F21</f>
        <v>-9.9149035228240812E-2</v>
      </c>
      <c r="Q21" s="2">
        <f t="shared" ref="Q21:Q31" si="3">+C21-15018.5</f>
        <v>18275.919999999998</v>
      </c>
    </row>
    <row r="22" spans="1:17" x14ac:dyDescent="0.2">
      <c r="A22" s="23" t="s">
        <v>32</v>
      </c>
      <c r="B22" s="15"/>
      <c r="C22" s="19">
        <v>50442.542999999998</v>
      </c>
      <c r="D22" s="15">
        <v>5.4000000000000003E-3</v>
      </c>
      <c r="E22">
        <f t="shared" si="0"/>
        <v>32630.015780004487</v>
      </c>
      <c r="F22">
        <f t="shared" si="1"/>
        <v>32630</v>
      </c>
      <c r="G22">
        <f t="shared" ref="G22:G30" si="4">+C22-(C$7+F22*C$8)</f>
        <v>8.292899998195935E-3</v>
      </c>
      <c r="I22">
        <f>+G22</f>
        <v>8.292899998195935E-3</v>
      </c>
      <c r="O22">
        <f t="shared" si="2"/>
        <v>8.0351608589281642E-3</v>
      </c>
      <c r="Q22" s="2">
        <f t="shared" si="3"/>
        <v>35424.042999999998</v>
      </c>
    </row>
    <row r="23" spans="1:17" x14ac:dyDescent="0.2">
      <c r="A23" s="23" t="s">
        <v>32</v>
      </c>
      <c r="B23" s="15"/>
      <c r="C23" s="19">
        <v>50443.589</v>
      </c>
      <c r="D23" s="15">
        <v>1.6999999999999999E-3</v>
      </c>
      <c r="E23">
        <f t="shared" si="0"/>
        <v>32632.006143410788</v>
      </c>
      <c r="F23">
        <f t="shared" si="1"/>
        <v>32632</v>
      </c>
      <c r="G23">
        <f t="shared" si="4"/>
        <v>3.2285600027535111E-3</v>
      </c>
      <c r="I23">
        <f>+G23</f>
        <v>3.2285600027535111E-3</v>
      </c>
      <c r="O23">
        <f t="shared" si="2"/>
        <v>8.0417305307692449E-3</v>
      </c>
      <c r="Q23" s="2">
        <f t="shared" si="3"/>
        <v>35425.089</v>
      </c>
    </row>
    <row r="24" spans="1:17" x14ac:dyDescent="0.2">
      <c r="A24" s="23" t="s">
        <v>32</v>
      </c>
      <c r="B24" s="15" t="s">
        <v>37</v>
      </c>
      <c r="C24" s="19">
        <v>50446.483399999997</v>
      </c>
      <c r="D24" s="15">
        <v>2.8999999999999998E-3</v>
      </c>
      <c r="E24">
        <f t="shared" si="0"/>
        <v>32637.513703490313</v>
      </c>
      <c r="F24">
        <f t="shared" si="1"/>
        <v>32637.5</v>
      </c>
      <c r="G24">
        <f t="shared" si="4"/>
        <v>7.2016250051092356E-3</v>
      </c>
      <c r="I24">
        <f>+G24</f>
        <v>7.2016250051092356E-3</v>
      </c>
      <c r="O24">
        <f t="shared" si="2"/>
        <v>8.0597971283321995E-3</v>
      </c>
      <c r="Q24" s="2">
        <f t="shared" si="3"/>
        <v>35427.983399999997</v>
      </c>
    </row>
    <row r="25" spans="1:17" x14ac:dyDescent="0.2">
      <c r="A25" s="24" t="s">
        <v>33</v>
      </c>
      <c r="B25" s="15"/>
      <c r="C25" s="20">
        <v>50841.428</v>
      </c>
      <c r="D25" s="16">
        <v>6.4000000000000003E-3</v>
      </c>
      <c r="E25">
        <f t="shared" si="0"/>
        <v>33389.027354881058</v>
      </c>
      <c r="F25">
        <f t="shared" si="1"/>
        <v>33389</v>
      </c>
      <c r="G25">
        <f t="shared" si="4"/>
        <v>1.437586999963969E-2</v>
      </c>
      <c r="I25">
        <f>+G25</f>
        <v>1.437586999963969E-2</v>
      </c>
      <c r="O25">
        <f t="shared" si="2"/>
        <v>1.0528351322616827E-2</v>
      </c>
      <c r="Q25" s="2">
        <f t="shared" si="3"/>
        <v>35822.928</v>
      </c>
    </row>
    <row r="26" spans="1:17" x14ac:dyDescent="0.2">
      <c r="A26" s="24" t="s">
        <v>33</v>
      </c>
      <c r="B26" s="16" t="s">
        <v>37</v>
      </c>
      <c r="C26" s="20">
        <v>50848.5118</v>
      </c>
      <c r="D26" s="16">
        <v>8.0000000000000004E-4</v>
      </c>
      <c r="E26">
        <f t="shared" si="0"/>
        <v>33402.50664388443</v>
      </c>
      <c r="F26">
        <f t="shared" si="1"/>
        <v>33402.5</v>
      </c>
      <c r="G26">
        <f t="shared" si="4"/>
        <v>3.4915750075015239E-3</v>
      </c>
      <c r="I26">
        <f>+G26</f>
        <v>3.4915750075015239E-3</v>
      </c>
      <c r="O26">
        <f t="shared" si="2"/>
        <v>1.0572696607544105E-2</v>
      </c>
      <c r="Q26" s="2">
        <f t="shared" si="3"/>
        <v>35830.0118</v>
      </c>
    </row>
    <row r="27" spans="1:17" x14ac:dyDescent="0.2">
      <c r="A27" s="22" t="s">
        <v>34</v>
      </c>
      <c r="C27" s="18">
        <v>50854.567999999999</v>
      </c>
      <c r="D27">
        <v>3.0000000000000001E-3</v>
      </c>
      <c r="E27">
        <f t="shared" si="0"/>
        <v>33414.030581610263</v>
      </c>
      <c r="F27">
        <f t="shared" si="1"/>
        <v>33414</v>
      </c>
      <c r="G27">
        <f t="shared" si="4"/>
        <v>1.6071620004368015E-2</v>
      </c>
      <c r="J27">
        <f>+G27</f>
        <v>1.6071620004368015E-2</v>
      </c>
      <c r="O27">
        <f t="shared" si="2"/>
        <v>1.0610472220630301E-2</v>
      </c>
      <c r="Q27" s="2">
        <f t="shared" si="3"/>
        <v>35836.067999999999</v>
      </c>
    </row>
    <row r="28" spans="1:17" x14ac:dyDescent="0.2">
      <c r="A28" s="22" t="s">
        <v>34</v>
      </c>
      <c r="C28" s="18">
        <v>50860.347900000001</v>
      </c>
      <c r="D28">
        <v>6.9999999999999999E-4</v>
      </c>
      <c r="E28">
        <f t="shared" si="0"/>
        <v>33425.028766554868</v>
      </c>
      <c r="F28">
        <f t="shared" si="1"/>
        <v>33425</v>
      </c>
      <c r="G28">
        <f t="shared" si="4"/>
        <v>1.5117750001081731E-2</v>
      </c>
      <c r="J28">
        <f>+G28</f>
        <v>1.5117750001081731E-2</v>
      </c>
      <c r="O28">
        <f t="shared" si="2"/>
        <v>1.0646605415756225E-2</v>
      </c>
      <c r="Q28" s="2">
        <f t="shared" si="3"/>
        <v>35841.847900000001</v>
      </c>
    </row>
    <row r="29" spans="1:17" x14ac:dyDescent="0.2">
      <c r="A29" s="25" t="s">
        <v>35</v>
      </c>
      <c r="C29" s="21">
        <v>52597.762999999999</v>
      </c>
      <c r="D29" s="14">
        <v>4.0000000000000002E-4</v>
      </c>
      <c r="E29">
        <f t="shared" si="0"/>
        <v>36731.03970019571</v>
      </c>
      <c r="F29">
        <f t="shared" si="1"/>
        <v>36731</v>
      </c>
      <c r="G29">
        <f t="shared" si="4"/>
        <v>2.086373000202002E-2</v>
      </c>
      <c r="N29">
        <f>+G29</f>
        <v>2.086373000202002E-2</v>
      </c>
      <c r="O29">
        <f t="shared" si="2"/>
        <v>2.1506272969056273E-2</v>
      </c>
      <c r="Q29" s="2">
        <f t="shared" si="3"/>
        <v>37579.262999999999</v>
      </c>
    </row>
    <row r="30" spans="1:17" x14ac:dyDescent="0.2">
      <c r="A30" s="24" t="s">
        <v>38</v>
      </c>
      <c r="B30" s="15" t="s">
        <v>39</v>
      </c>
      <c r="C30" s="19">
        <v>52597.762999999999</v>
      </c>
      <c r="D30" s="17">
        <v>4.0000000000000002E-4</v>
      </c>
      <c r="E30">
        <f t="shared" si="0"/>
        <v>36731.03970019571</v>
      </c>
      <c r="F30">
        <f t="shared" si="1"/>
        <v>36731</v>
      </c>
      <c r="G30">
        <f t="shared" si="4"/>
        <v>2.086373000202002E-2</v>
      </c>
      <c r="I30">
        <f>+G30</f>
        <v>2.086373000202002E-2</v>
      </c>
      <c r="O30">
        <f t="shared" si="2"/>
        <v>2.1506272969056273E-2</v>
      </c>
      <c r="Q30" s="2">
        <f t="shared" si="3"/>
        <v>37579.262999999999</v>
      </c>
    </row>
    <row r="31" spans="1:17" x14ac:dyDescent="0.2">
      <c r="A31" s="26" t="s">
        <v>36</v>
      </c>
      <c r="C31" s="31">
        <v>52947.031300000002</v>
      </c>
      <c r="D31">
        <v>1E-4</v>
      </c>
      <c r="E31">
        <f t="shared" si="0"/>
        <v>37395.638976772832</v>
      </c>
      <c r="F31">
        <f t="shared" si="1"/>
        <v>37395.5</v>
      </c>
      <c r="K31" s="22">
        <v>7.3036765010328963E-2</v>
      </c>
      <c r="O31">
        <f t="shared" si="2"/>
        <v>2.3689046438254049E-2</v>
      </c>
      <c r="Q31" s="2">
        <f t="shared" si="3"/>
        <v>37928.531300000002</v>
      </c>
    </row>
    <row r="32" spans="1:17" x14ac:dyDescent="0.2">
      <c r="A32" s="22"/>
      <c r="C32" s="18"/>
      <c r="Q32" s="2"/>
    </row>
    <row r="33" spans="1:17" x14ac:dyDescent="0.2">
      <c r="A33" s="22"/>
      <c r="C33" s="27"/>
      <c r="Q33" s="2"/>
    </row>
    <row r="34" spans="1:17" x14ac:dyDescent="0.2">
      <c r="A34" s="22"/>
      <c r="Q34" s="2"/>
    </row>
    <row r="35" spans="1:17" x14ac:dyDescent="0.2">
      <c r="A35" s="22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BAV</vt:lpstr>
      <vt:lpstr>A (old)</vt:lpstr>
      <vt:lpstr>B</vt:lpstr>
      <vt:lpstr>B (2)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2024-01-06T06:08:05Z</dcterms:modified>
</cp:coreProperties>
</file>