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2D43D73-4161-401A-A502-2F6C1C0F632A}" xr6:coauthVersionLast="47" xr6:coauthVersionMax="47" xr10:uidLastSave="{00000000-0000-0000-0000-000000000000}"/>
  <bookViews>
    <workbookView xWindow="765" yWindow="810" windowWidth="14355" windowHeight="14175" xr2:uid="{00000000-000D-0000-FFFF-FFFF00000000}"/>
  </bookViews>
  <sheets>
    <sheet name="Active 1" sheetId="5" r:id="rId1"/>
    <sheet name="Active 2" sheetId="6" r:id="rId2"/>
    <sheet name="B (2)" sheetId="4" r:id="rId3"/>
    <sheet name="O-C_Gateway" sheetId="3" r:id="rId4"/>
    <sheet name="A (old)" sheetId="2" r:id="rId5"/>
  </sheets>
  <definedNames>
    <definedName name="solver_adj" localSheetId="0" hidden="1">'Active 1'!$E$11:$E$13</definedName>
    <definedName name="solver_adj" localSheetId="1" hidden="1">'Active 2'!$E$11:$E$13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47" i="5" l="1"/>
  <c r="F47" i="5"/>
  <c r="G47" i="5" s="1"/>
  <c r="L47" i="5" s="1"/>
  <c r="Q47" i="5"/>
  <c r="E48" i="5"/>
  <c r="F48" i="5" s="1"/>
  <c r="Q48" i="5"/>
  <c r="E49" i="5"/>
  <c r="F49" i="5" s="1"/>
  <c r="Q49" i="5"/>
  <c r="E50" i="5"/>
  <c r="F50" i="5"/>
  <c r="G50" i="5"/>
  <c r="L50" i="5" s="1"/>
  <c r="Q50" i="5"/>
  <c r="E51" i="5"/>
  <c r="F51" i="5" s="1"/>
  <c r="Q51" i="5"/>
  <c r="E52" i="5"/>
  <c r="F52" i="5"/>
  <c r="Q52" i="5"/>
  <c r="E53" i="5"/>
  <c r="F53" i="5" s="1"/>
  <c r="Q53" i="5"/>
  <c r="E54" i="5"/>
  <c r="F54" i="5" s="1"/>
  <c r="Q54" i="5"/>
  <c r="E55" i="5"/>
  <c r="F55" i="5"/>
  <c r="G55" i="5" s="1"/>
  <c r="L55" i="5" s="1"/>
  <c r="Q55" i="5"/>
  <c r="E56" i="5"/>
  <c r="F56" i="5" s="1"/>
  <c r="Q56" i="5"/>
  <c r="E57" i="5"/>
  <c r="F57" i="5" s="1"/>
  <c r="Q57" i="5"/>
  <c r="E58" i="5"/>
  <c r="F58" i="5" s="1"/>
  <c r="Q58" i="5"/>
  <c r="E47" i="6"/>
  <c r="F47" i="6" s="1"/>
  <c r="G47" i="6" s="1"/>
  <c r="L47" i="6" s="1"/>
  <c r="Q47" i="6"/>
  <c r="E48" i="6"/>
  <c r="F48" i="6" s="1"/>
  <c r="Q48" i="6"/>
  <c r="E49" i="6"/>
  <c r="F49" i="6" s="1"/>
  <c r="Q49" i="6"/>
  <c r="E50" i="6"/>
  <c r="F50" i="6" s="1"/>
  <c r="Q50" i="6"/>
  <c r="E51" i="6"/>
  <c r="F51" i="6"/>
  <c r="P51" i="6" s="1"/>
  <c r="R51" i="6" s="1"/>
  <c r="T51" i="6" s="1"/>
  <c r="G51" i="6"/>
  <c r="L51" i="6" s="1"/>
  <c r="Q51" i="6"/>
  <c r="E52" i="6"/>
  <c r="F52" i="6" s="1"/>
  <c r="Q52" i="6"/>
  <c r="E53" i="6"/>
  <c r="F53" i="6" s="1"/>
  <c r="Q53" i="6"/>
  <c r="E54" i="6"/>
  <c r="F54" i="6" s="1"/>
  <c r="Q54" i="6"/>
  <c r="E55" i="6"/>
  <c r="F55" i="6"/>
  <c r="G55" i="6" s="1"/>
  <c r="L55" i="6" s="1"/>
  <c r="Q55" i="6"/>
  <c r="E56" i="6"/>
  <c r="F56" i="6" s="1"/>
  <c r="Q56" i="6"/>
  <c r="E57" i="6"/>
  <c r="F57" i="6" s="1"/>
  <c r="Q57" i="6"/>
  <c r="E58" i="6"/>
  <c r="F58" i="6"/>
  <c r="P58" i="6" s="1"/>
  <c r="Q58" i="6"/>
  <c r="E60" i="6"/>
  <c r="F60" i="6" s="1"/>
  <c r="Q60" i="6"/>
  <c r="E60" i="5"/>
  <c r="F60" i="5" s="1"/>
  <c r="Q60" i="5"/>
  <c r="E59" i="5"/>
  <c r="F59" i="5" s="1"/>
  <c r="Q59" i="5"/>
  <c r="E59" i="6"/>
  <c r="F59" i="6" s="1"/>
  <c r="Q59" i="6"/>
  <c r="E44" i="6"/>
  <c r="F44" i="6" s="1"/>
  <c r="Q44" i="6"/>
  <c r="E45" i="6"/>
  <c r="F45" i="6" s="1"/>
  <c r="Q45" i="6"/>
  <c r="E46" i="6"/>
  <c r="F46" i="6" s="1"/>
  <c r="Q46" i="6"/>
  <c r="E44" i="5"/>
  <c r="F44" i="5" s="1"/>
  <c r="Q44" i="5"/>
  <c r="E45" i="5"/>
  <c r="F45" i="5" s="1"/>
  <c r="Q45" i="5"/>
  <c r="E46" i="5"/>
  <c r="F46" i="5" s="1"/>
  <c r="Q46" i="5"/>
  <c r="E39" i="5"/>
  <c r="F39" i="5" s="1"/>
  <c r="G39" i="5" s="1"/>
  <c r="K39" i="5" s="1"/>
  <c r="Q39" i="5"/>
  <c r="E40" i="5"/>
  <c r="F40" i="5"/>
  <c r="G40" i="5" s="1"/>
  <c r="K40" i="5" s="1"/>
  <c r="Q40" i="5"/>
  <c r="E41" i="5"/>
  <c r="F41" i="5"/>
  <c r="G41" i="5" s="1"/>
  <c r="K41" i="5" s="1"/>
  <c r="Q41" i="5"/>
  <c r="E42" i="5"/>
  <c r="F42" i="5"/>
  <c r="Q42" i="5"/>
  <c r="E43" i="5"/>
  <c r="F43" i="5" s="1"/>
  <c r="G43" i="5" s="1"/>
  <c r="K43" i="5" s="1"/>
  <c r="Q43" i="5"/>
  <c r="C21" i="5"/>
  <c r="G21" i="5" s="1"/>
  <c r="H21" i="5" s="1"/>
  <c r="E38" i="5"/>
  <c r="F38" i="5" s="1"/>
  <c r="G38" i="5" s="1"/>
  <c r="K38" i="5" s="1"/>
  <c r="Q38" i="5"/>
  <c r="F21" i="5"/>
  <c r="E22" i="5"/>
  <c r="F22" i="5"/>
  <c r="G22" i="5" s="1"/>
  <c r="K22" i="5" s="1"/>
  <c r="E23" i="5"/>
  <c r="F23" i="5" s="1"/>
  <c r="G23" i="5" s="1"/>
  <c r="K23" i="5" s="1"/>
  <c r="E24" i="5"/>
  <c r="F24" i="5" s="1"/>
  <c r="G24" i="5" s="1"/>
  <c r="K24" i="5" s="1"/>
  <c r="D11" i="6"/>
  <c r="D12" i="6"/>
  <c r="W8" i="6" s="1"/>
  <c r="D13" i="6"/>
  <c r="C9" i="6"/>
  <c r="D9" i="6"/>
  <c r="F16" i="6"/>
  <c r="F17" i="6" s="1"/>
  <c r="C21" i="6"/>
  <c r="Q21" i="6" s="1"/>
  <c r="G21" i="6"/>
  <c r="H21" i="6" s="1"/>
  <c r="F21" i="6"/>
  <c r="E23" i="6"/>
  <c r="F23" i="6" s="1"/>
  <c r="G23" i="6" s="1"/>
  <c r="K23" i="6" s="1"/>
  <c r="Q23" i="6"/>
  <c r="E24" i="6"/>
  <c r="F24" i="6"/>
  <c r="G24" i="6" s="1"/>
  <c r="K24" i="6" s="1"/>
  <c r="Q24" i="6"/>
  <c r="E25" i="6"/>
  <c r="F25" i="6"/>
  <c r="G25" i="6" s="1"/>
  <c r="K25" i="6" s="1"/>
  <c r="Q25" i="6"/>
  <c r="E27" i="6"/>
  <c r="F27" i="6"/>
  <c r="G27" i="6" s="1"/>
  <c r="K27" i="6" s="1"/>
  <c r="Q27" i="6"/>
  <c r="E28" i="6"/>
  <c r="F28" i="6"/>
  <c r="G28" i="6" s="1"/>
  <c r="K28" i="6" s="1"/>
  <c r="Q28" i="6"/>
  <c r="E30" i="6"/>
  <c r="F30" i="6" s="1"/>
  <c r="G30" i="6" s="1"/>
  <c r="K30" i="6" s="1"/>
  <c r="Q30" i="6"/>
  <c r="E32" i="6"/>
  <c r="F32" i="6" s="1"/>
  <c r="G32" i="6" s="1"/>
  <c r="K32" i="6" s="1"/>
  <c r="Q32" i="6"/>
  <c r="E33" i="6"/>
  <c r="F33" i="6"/>
  <c r="G33" i="6" s="1"/>
  <c r="K33" i="6" s="1"/>
  <c r="Q33" i="6"/>
  <c r="E37" i="6"/>
  <c r="F37" i="6" s="1"/>
  <c r="G37" i="6" s="1"/>
  <c r="K37" i="6" s="1"/>
  <c r="Q37" i="6"/>
  <c r="E38" i="6"/>
  <c r="F38" i="6" s="1"/>
  <c r="G38" i="6" s="1"/>
  <c r="K38" i="6" s="1"/>
  <c r="Q38" i="6"/>
  <c r="E26" i="6"/>
  <c r="F26" i="6"/>
  <c r="G26" i="6" s="1"/>
  <c r="K26" i="6" s="1"/>
  <c r="Q26" i="6"/>
  <c r="E29" i="6"/>
  <c r="F29" i="6"/>
  <c r="Q29" i="6"/>
  <c r="E31" i="6"/>
  <c r="F31" i="6" s="1"/>
  <c r="G31" i="6" s="1"/>
  <c r="K31" i="6" s="1"/>
  <c r="Q31" i="6"/>
  <c r="E34" i="6"/>
  <c r="F34" i="6" s="1"/>
  <c r="G34" i="6" s="1"/>
  <c r="K34" i="6" s="1"/>
  <c r="Q34" i="6"/>
  <c r="E35" i="6"/>
  <c r="F35" i="6" s="1"/>
  <c r="G35" i="6" s="1"/>
  <c r="K35" i="6" s="1"/>
  <c r="Q35" i="6"/>
  <c r="E36" i="6"/>
  <c r="F36" i="6"/>
  <c r="G36" i="6" s="1"/>
  <c r="K36" i="6" s="1"/>
  <c r="Q36" i="6"/>
  <c r="E39" i="6"/>
  <c r="F39" i="6" s="1"/>
  <c r="G39" i="6" s="1"/>
  <c r="K39" i="6" s="1"/>
  <c r="Q39" i="6"/>
  <c r="E40" i="6"/>
  <c r="F40" i="6" s="1"/>
  <c r="G40" i="6" s="1"/>
  <c r="K40" i="6" s="1"/>
  <c r="Q40" i="6"/>
  <c r="E41" i="6"/>
  <c r="F41" i="6" s="1"/>
  <c r="G41" i="6" s="1"/>
  <c r="K41" i="6" s="1"/>
  <c r="Q41" i="6"/>
  <c r="E22" i="6"/>
  <c r="F22" i="6"/>
  <c r="G22" i="6" s="1"/>
  <c r="K22" i="6" s="1"/>
  <c r="Q22" i="6"/>
  <c r="E42" i="6"/>
  <c r="F42" i="6"/>
  <c r="G42" i="6" s="1"/>
  <c r="K42" i="6" s="1"/>
  <c r="Q42" i="6"/>
  <c r="E43" i="6"/>
  <c r="F43" i="6"/>
  <c r="G43" i="6" s="1"/>
  <c r="K43" i="6" s="1"/>
  <c r="Q43" i="6"/>
  <c r="E37" i="5"/>
  <c r="F37" i="5" s="1"/>
  <c r="G37" i="5" s="1"/>
  <c r="K37" i="5" s="1"/>
  <c r="D11" i="5"/>
  <c r="D12" i="5"/>
  <c r="D13" i="5"/>
  <c r="Q37" i="5"/>
  <c r="E35" i="5"/>
  <c r="F35" i="5" s="1"/>
  <c r="G35" i="5" s="1"/>
  <c r="K35" i="5" s="1"/>
  <c r="E36" i="5"/>
  <c r="F36" i="5"/>
  <c r="D9" i="5"/>
  <c r="C9" i="5"/>
  <c r="Q36" i="5"/>
  <c r="Q35" i="5"/>
  <c r="E34" i="5"/>
  <c r="F34" i="5" s="1"/>
  <c r="G34" i="5" s="1"/>
  <c r="K34" i="5" s="1"/>
  <c r="Q34" i="5"/>
  <c r="E33" i="5"/>
  <c r="F33" i="5"/>
  <c r="G33" i="5" s="1"/>
  <c r="K33" i="5" s="1"/>
  <c r="Q33" i="5"/>
  <c r="E25" i="5"/>
  <c r="F25" i="5" s="1"/>
  <c r="G25" i="5" s="1"/>
  <c r="K25" i="5" s="1"/>
  <c r="E26" i="5"/>
  <c r="F26" i="5"/>
  <c r="G26" i="5" s="1"/>
  <c r="K26" i="5" s="1"/>
  <c r="E27" i="5"/>
  <c r="F27" i="5"/>
  <c r="G27" i="5" s="1"/>
  <c r="K27" i="5" s="1"/>
  <c r="E28" i="5"/>
  <c r="F28" i="5" s="1"/>
  <c r="G28" i="5" s="1"/>
  <c r="K28" i="5" s="1"/>
  <c r="E29" i="5"/>
  <c r="F29" i="5" s="1"/>
  <c r="G29" i="5" s="1"/>
  <c r="K29" i="5" s="1"/>
  <c r="E31" i="5"/>
  <c r="F31" i="5" s="1"/>
  <c r="G31" i="5" s="1"/>
  <c r="K31" i="5" s="1"/>
  <c r="E32" i="5"/>
  <c r="F32" i="5" s="1"/>
  <c r="G32" i="5" s="1"/>
  <c r="K32" i="5" s="1"/>
  <c r="E30" i="5"/>
  <c r="F30" i="5" s="1"/>
  <c r="G30" i="5" s="1"/>
  <c r="K30" i="5" s="1"/>
  <c r="Q21" i="5"/>
  <c r="F16" i="5"/>
  <c r="F17" i="5" s="1"/>
  <c r="Q22" i="5"/>
  <c r="Q23" i="5"/>
  <c r="Q24" i="5"/>
  <c r="Q25" i="5"/>
  <c r="Q26" i="5"/>
  <c r="Q27" i="5"/>
  <c r="Q28" i="5"/>
  <c r="Q29" i="5"/>
  <c r="Q31" i="5"/>
  <c r="Q32" i="5"/>
  <c r="Q30" i="5"/>
  <c r="C21" i="4"/>
  <c r="G21" i="4"/>
  <c r="C7" i="4"/>
  <c r="F11" i="4"/>
  <c r="G11" i="4"/>
  <c r="E14" i="4"/>
  <c r="E15" i="4" s="1"/>
  <c r="E22" i="4"/>
  <c r="F22" i="4"/>
  <c r="Q22" i="4"/>
  <c r="E23" i="4"/>
  <c r="F23" i="4"/>
  <c r="G23" i="4"/>
  <c r="Q23" i="4"/>
  <c r="Q24" i="4"/>
  <c r="Q25" i="4"/>
  <c r="E26" i="4"/>
  <c r="F26" i="4"/>
  <c r="Q26" i="4"/>
  <c r="E27" i="4"/>
  <c r="F27" i="4"/>
  <c r="G27" i="4"/>
  <c r="Q27" i="4"/>
  <c r="E28" i="4"/>
  <c r="F28" i="4"/>
  <c r="G28" i="4"/>
  <c r="K28" i="4"/>
  <c r="Q28" i="4"/>
  <c r="E29" i="4"/>
  <c r="F29" i="4"/>
  <c r="G29" i="4"/>
  <c r="Q29" i="4"/>
  <c r="E30" i="4"/>
  <c r="F30" i="4"/>
  <c r="G30" i="4"/>
  <c r="K30" i="4"/>
  <c r="Q30" i="4"/>
  <c r="E31" i="4"/>
  <c r="F31" i="4"/>
  <c r="G31" i="4"/>
  <c r="K31" i="4"/>
  <c r="Q31" i="4"/>
  <c r="E32" i="4"/>
  <c r="F32" i="4"/>
  <c r="G32" i="4"/>
  <c r="K32" i="4"/>
  <c r="Q32" i="4"/>
  <c r="E33" i="4"/>
  <c r="F33" i="4"/>
  <c r="G33" i="4"/>
  <c r="K33" i="4"/>
  <c r="Q33" i="4"/>
  <c r="E34" i="4"/>
  <c r="F34" i="4"/>
  <c r="G34" i="4"/>
  <c r="Q34" i="4"/>
  <c r="E35" i="4"/>
  <c r="F35" i="4"/>
  <c r="G35" i="4"/>
  <c r="K35" i="4"/>
  <c r="Q35" i="4"/>
  <c r="E36" i="4"/>
  <c r="F36" i="4"/>
  <c r="G36" i="4"/>
  <c r="K36" i="4"/>
  <c r="Q36" i="4"/>
  <c r="E37" i="4"/>
  <c r="F37" i="4"/>
  <c r="G37" i="4"/>
  <c r="Q37" i="4"/>
  <c r="E38" i="4"/>
  <c r="F38" i="4"/>
  <c r="G38" i="4"/>
  <c r="Q38" i="4"/>
  <c r="E36" i="2"/>
  <c r="F36" i="2"/>
  <c r="E38" i="2"/>
  <c r="F38" i="2"/>
  <c r="G38" i="2"/>
  <c r="K38" i="2"/>
  <c r="F11" i="2"/>
  <c r="G11" i="2"/>
  <c r="Q32" i="2"/>
  <c r="Q33" i="2"/>
  <c r="Q34" i="2"/>
  <c r="Q35" i="2"/>
  <c r="Q36" i="2"/>
  <c r="Q37" i="2"/>
  <c r="Q38" i="2"/>
  <c r="E12" i="3"/>
  <c r="E13" i="3"/>
  <c r="E14" i="3"/>
  <c r="E15" i="3"/>
  <c r="E16" i="3"/>
  <c r="E17" i="3"/>
  <c r="E18" i="3"/>
  <c r="E11" i="3"/>
  <c r="C21" i="2"/>
  <c r="E21" i="2"/>
  <c r="F21" i="2"/>
  <c r="G21" i="2"/>
  <c r="H21" i="2"/>
  <c r="E14" i="2"/>
  <c r="E15" i="2" s="1"/>
  <c r="C17" i="2"/>
  <c r="C7" i="2"/>
  <c r="E24" i="2"/>
  <c r="F24" i="2"/>
  <c r="E23" i="2"/>
  <c r="F23" i="2"/>
  <c r="G23" i="2"/>
  <c r="K23" i="2"/>
  <c r="E25" i="2"/>
  <c r="F25" i="2"/>
  <c r="E27" i="2"/>
  <c r="F27" i="2"/>
  <c r="G27" i="2"/>
  <c r="K27" i="2"/>
  <c r="Q22" i="2"/>
  <c r="Q23" i="2"/>
  <c r="Q24" i="2"/>
  <c r="Q27" i="2"/>
  <c r="Q31" i="2"/>
  <c r="Q21" i="2"/>
  <c r="Q25" i="2"/>
  <c r="Q26" i="2"/>
  <c r="Q28" i="2"/>
  <c r="Q29" i="2"/>
  <c r="Q30" i="2"/>
  <c r="N29" i="4"/>
  <c r="K29" i="4"/>
  <c r="K37" i="4"/>
  <c r="N37" i="4"/>
  <c r="N23" i="4"/>
  <c r="K23" i="4"/>
  <c r="N21" i="4"/>
  <c r="H21" i="4"/>
  <c r="N27" i="4"/>
  <c r="K27" i="4"/>
  <c r="K38" i="4"/>
  <c r="N38" i="4"/>
  <c r="N34" i="4"/>
  <c r="K34" i="4"/>
  <c r="E30" i="2"/>
  <c r="F30" i="2"/>
  <c r="G30" i="2"/>
  <c r="K30" i="2"/>
  <c r="G24" i="2"/>
  <c r="K24" i="2"/>
  <c r="G35" i="2"/>
  <c r="K35" i="2"/>
  <c r="E33" i="2"/>
  <c r="F33" i="2"/>
  <c r="G33" i="2"/>
  <c r="K33" i="2"/>
  <c r="G26" i="4"/>
  <c r="E25" i="4"/>
  <c r="F25" i="4"/>
  <c r="G22" i="4"/>
  <c r="E35" i="2"/>
  <c r="F35" i="2"/>
  <c r="C17" i="4"/>
  <c r="E29" i="2"/>
  <c r="F29" i="2"/>
  <c r="G29" i="2"/>
  <c r="K29" i="2"/>
  <c r="Q21" i="4"/>
  <c r="E26" i="2"/>
  <c r="F26" i="2"/>
  <c r="G26" i="2"/>
  <c r="K26" i="2"/>
  <c r="E37" i="2"/>
  <c r="F37" i="2"/>
  <c r="G37" i="2"/>
  <c r="K37" i="2"/>
  <c r="E32" i="2"/>
  <c r="F32" i="2"/>
  <c r="G32" i="2"/>
  <c r="K32" i="2"/>
  <c r="E31" i="2"/>
  <c r="F31" i="2"/>
  <c r="G31" i="2"/>
  <c r="K31" i="2"/>
  <c r="G25" i="2"/>
  <c r="K25" i="2"/>
  <c r="E22" i="2"/>
  <c r="F22" i="2"/>
  <c r="G22" i="2"/>
  <c r="G36" i="2"/>
  <c r="K36" i="2"/>
  <c r="E34" i="2"/>
  <c r="F34" i="2"/>
  <c r="G34" i="2"/>
  <c r="K34" i="2"/>
  <c r="E28" i="2"/>
  <c r="F28" i="2"/>
  <c r="G28" i="2"/>
  <c r="K28" i="2"/>
  <c r="G25" i="4"/>
  <c r="K25" i="4"/>
  <c r="E24" i="4"/>
  <c r="F24" i="4"/>
  <c r="G24" i="4"/>
  <c r="E21" i="4"/>
  <c r="K22" i="2"/>
  <c r="N22" i="4"/>
  <c r="K22" i="4"/>
  <c r="N26" i="4"/>
  <c r="K26" i="4"/>
  <c r="K24" i="4"/>
  <c r="N24" i="4"/>
  <c r="G42" i="5"/>
  <c r="K42" i="5" s="1"/>
  <c r="G36" i="5"/>
  <c r="K36" i="5" s="1"/>
  <c r="G29" i="6"/>
  <c r="K29" i="6" s="1"/>
  <c r="C12" i="2"/>
  <c r="C11" i="4"/>
  <c r="P52" i="5" l="1"/>
  <c r="P52" i="6"/>
  <c r="P50" i="5"/>
  <c r="R50" i="5" s="1"/>
  <c r="T50" i="5" s="1"/>
  <c r="P58" i="5"/>
  <c r="G58" i="5"/>
  <c r="L58" i="5" s="1"/>
  <c r="P51" i="5"/>
  <c r="R51" i="5" s="1"/>
  <c r="T51" i="5" s="1"/>
  <c r="G51" i="5"/>
  <c r="L51" i="5" s="1"/>
  <c r="C17" i="5"/>
  <c r="P26" i="5"/>
  <c r="R26" i="5" s="1"/>
  <c r="T26" i="5" s="1"/>
  <c r="G49" i="5"/>
  <c r="L49" i="5" s="1"/>
  <c r="P49" i="5"/>
  <c r="G57" i="5"/>
  <c r="L57" i="5" s="1"/>
  <c r="P57" i="5"/>
  <c r="G53" i="5"/>
  <c r="L53" i="5" s="1"/>
  <c r="P53" i="5"/>
  <c r="P48" i="5"/>
  <c r="G48" i="5"/>
  <c r="L48" i="5" s="1"/>
  <c r="G54" i="5"/>
  <c r="L54" i="5" s="1"/>
  <c r="P54" i="5"/>
  <c r="G56" i="5"/>
  <c r="L56" i="5" s="1"/>
  <c r="P56" i="5"/>
  <c r="G52" i="5"/>
  <c r="L52" i="5" s="1"/>
  <c r="P55" i="5"/>
  <c r="R55" i="5" s="1"/>
  <c r="T55" i="5" s="1"/>
  <c r="P47" i="5"/>
  <c r="R47" i="5" s="1"/>
  <c r="T47" i="5" s="1"/>
  <c r="P50" i="6"/>
  <c r="G50" i="6"/>
  <c r="L50" i="6" s="1"/>
  <c r="G58" i="6"/>
  <c r="L58" i="6" s="1"/>
  <c r="P55" i="6"/>
  <c r="G49" i="6"/>
  <c r="L49" i="6" s="1"/>
  <c r="P49" i="6"/>
  <c r="R49" i="6" s="1"/>
  <c r="T49" i="6" s="1"/>
  <c r="G54" i="6"/>
  <c r="L54" i="6" s="1"/>
  <c r="P54" i="6"/>
  <c r="R54" i="6" s="1"/>
  <c r="T54" i="6" s="1"/>
  <c r="G56" i="6"/>
  <c r="L56" i="6" s="1"/>
  <c r="P56" i="6"/>
  <c r="R56" i="6" s="1"/>
  <c r="T56" i="6" s="1"/>
  <c r="G53" i="6"/>
  <c r="L53" i="6" s="1"/>
  <c r="P53" i="6"/>
  <c r="R53" i="6" s="1"/>
  <c r="T53" i="6" s="1"/>
  <c r="G48" i="6"/>
  <c r="L48" i="6" s="1"/>
  <c r="P48" i="6"/>
  <c r="R48" i="6" s="1"/>
  <c r="T48" i="6" s="1"/>
  <c r="G57" i="6"/>
  <c r="L57" i="6" s="1"/>
  <c r="P57" i="6"/>
  <c r="R57" i="6" s="1"/>
  <c r="T57" i="6" s="1"/>
  <c r="R55" i="6"/>
  <c r="T55" i="6" s="1"/>
  <c r="G52" i="6"/>
  <c r="L52" i="6" s="1"/>
  <c r="P47" i="6"/>
  <c r="R47" i="6" s="1"/>
  <c r="T47" i="6" s="1"/>
  <c r="P60" i="6"/>
  <c r="G60" i="6"/>
  <c r="K60" i="6" s="1"/>
  <c r="G60" i="5"/>
  <c r="K60" i="5" s="1"/>
  <c r="P60" i="5"/>
  <c r="W15" i="5"/>
  <c r="C17" i="6"/>
  <c r="P31" i="5"/>
  <c r="R31" i="5" s="1"/>
  <c r="T31" i="5" s="1"/>
  <c r="P30" i="6"/>
  <c r="R30" i="6" s="1"/>
  <c r="T30" i="6" s="1"/>
  <c r="W11" i="6"/>
  <c r="W7" i="6"/>
  <c r="P43" i="6"/>
  <c r="R43" i="6" s="1"/>
  <c r="T43" i="6" s="1"/>
  <c r="W14" i="6"/>
  <c r="G59" i="5"/>
  <c r="K59" i="5" s="1"/>
  <c r="P59" i="5"/>
  <c r="G59" i="6"/>
  <c r="K59" i="6" s="1"/>
  <c r="P59" i="6"/>
  <c r="R59" i="6" s="1"/>
  <c r="T59" i="6" s="1"/>
  <c r="W8" i="5"/>
  <c r="P39" i="5"/>
  <c r="R39" i="5" s="1"/>
  <c r="T39" i="5" s="1"/>
  <c r="P23" i="5"/>
  <c r="R23" i="5" s="1"/>
  <c r="T23" i="5" s="1"/>
  <c r="P34" i="5"/>
  <c r="R34" i="5" s="1"/>
  <c r="T34" i="5" s="1"/>
  <c r="P32" i="5"/>
  <c r="R32" i="5" s="1"/>
  <c r="T32" i="5" s="1"/>
  <c r="P33" i="5"/>
  <c r="R33" i="5" s="1"/>
  <c r="T33" i="5" s="1"/>
  <c r="P41" i="5"/>
  <c r="R41" i="5" s="1"/>
  <c r="T41" i="5" s="1"/>
  <c r="P24" i="5"/>
  <c r="R24" i="5" s="1"/>
  <c r="T24" i="5" s="1"/>
  <c r="W14" i="5"/>
  <c r="W16" i="5"/>
  <c r="W17" i="5"/>
  <c r="G46" i="6"/>
  <c r="K46" i="6" s="1"/>
  <c r="P46" i="6"/>
  <c r="G45" i="6"/>
  <c r="K45" i="6" s="1"/>
  <c r="P45" i="6"/>
  <c r="G44" i="6"/>
  <c r="P44" i="6"/>
  <c r="G46" i="5"/>
  <c r="K46" i="5" s="1"/>
  <c r="P46" i="5"/>
  <c r="G45" i="5"/>
  <c r="K45" i="5" s="1"/>
  <c r="P45" i="5"/>
  <c r="R45" i="5" s="1"/>
  <c r="T45" i="5" s="1"/>
  <c r="D16" i="5"/>
  <c r="D19" i="5" s="1"/>
  <c r="G44" i="5"/>
  <c r="D15" i="5"/>
  <c r="C19" i="5" s="1"/>
  <c r="P44" i="5"/>
  <c r="C16" i="2"/>
  <c r="D18" i="2" s="1"/>
  <c r="W12" i="6"/>
  <c r="W17" i="6"/>
  <c r="W10" i="6"/>
  <c r="W5" i="6"/>
  <c r="P29" i="5"/>
  <c r="R29" i="5" s="1"/>
  <c r="T29" i="5" s="1"/>
  <c r="P36" i="5"/>
  <c r="R36" i="5" s="1"/>
  <c r="T36" i="5" s="1"/>
  <c r="W6" i="5"/>
  <c r="W12" i="5"/>
  <c r="W3" i="6"/>
  <c r="P37" i="6"/>
  <c r="R37" i="6" s="1"/>
  <c r="T37" i="6" s="1"/>
  <c r="D16" i="6"/>
  <c r="D19" i="6" s="1"/>
  <c r="W2" i="6"/>
  <c r="P23" i="6"/>
  <c r="R23" i="6" s="1"/>
  <c r="T23" i="6" s="1"/>
  <c r="W13" i="6"/>
  <c r="P37" i="5"/>
  <c r="R37" i="5" s="1"/>
  <c r="T37" i="5" s="1"/>
  <c r="P38" i="5"/>
  <c r="R38" i="5" s="1"/>
  <c r="T38" i="5" s="1"/>
  <c r="P25" i="5"/>
  <c r="R25" i="5" s="1"/>
  <c r="T25" i="5" s="1"/>
  <c r="P40" i="5"/>
  <c r="R40" i="5" s="1"/>
  <c r="T40" i="5" s="1"/>
  <c r="P42" i="5"/>
  <c r="R42" i="5" s="1"/>
  <c r="T42" i="5" s="1"/>
  <c r="W4" i="5"/>
  <c r="W11" i="5"/>
  <c r="W10" i="5"/>
  <c r="P29" i="6"/>
  <c r="R29" i="6" s="1"/>
  <c r="T29" i="6" s="1"/>
  <c r="W9" i="6"/>
  <c r="P22" i="5"/>
  <c r="R22" i="5" s="1"/>
  <c r="T22" i="5" s="1"/>
  <c r="P24" i="6"/>
  <c r="R24" i="6" s="1"/>
  <c r="T24" i="6" s="1"/>
  <c r="P35" i="6"/>
  <c r="R35" i="6" s="1"/>
  <c r="T35" i="6" s="1"/>
  <c r="P43" i="5"/>
  <c r="R43" i="5" s="1"/>
  <c r="T43" i="5" s="1"/>
  <c r="W16" i="6"/>
  <c r="P36" i="6"/>
  <c r="R36" i="6" s="1"/>
  <c r="T36" i="6" s="1"/>
  <c r="P22" i="6"/>
  <c r="R22" i="6" s="1"/>
  <c r="T22" i="6" s="1"/>
  <c r="W6" i="6"/>
  <c r="W15" i="6"/>
  <c r="P38" i="6"/>
  <c r="R38" i="6" s="1"/>
  <c r="T38" i="6" s="1"/>
  <c r="P35" i="5"/>
  <c r="R35" i="5" s="1"/>
  <c r="T35" i="5" s="1"/>
  <c r="P27" i="5"/>
  <c r="R27" i="5" s="1"/>
  <c r="T27" i="5" s="1"/>
  <c r="P30" i="5"/>
  <c r="R30" i="5" s="1"/>
  <c r="T30" i="5" s="1"/>
  <c r="W3" i="5"/>
  <c r="W2" i="5"/>
  <c r="P21" i="5"/>
  <c r="R21" i="5" s="1"/>
  <c r="T21" i="5" s="1"/>
  <c r="P32" i="6"/>
  <c r="R32" i="6" s="1"/>
  <c r="T32" i="6" s="1"/>
  <c r="W7" i="5"/>
  <c r="P42" i="6"/>
  <c r="R42" i="6" s="1"/>
  <c r="T42" i="6" s="1"/>
  <c r="P28" i="6"/>
  <c r="R28" i="6" s="1"/>
  <c r="T28" i="6" s="1"/>
  <c r="P27" i="6"/>
  <c r="R27" i="6" s="1"/>
  <c r="T27" i="6" s="1"/>
  <c r="D15" i="6"/>
  <c r="C19" i="6" s="1"/>
  <c r="P31" i="6"/>
  <c r="R31" i="6" s="1"/>
  <c r="T31" i="6" s="1"/>
  <c r="W13" i="5"/>
  <c r="W9" i="5"/>
  <c r="P41" i="6"/>
  <c r="R41" i="6" s="1"/>
  <c r="T41" i="6" s="1"/>
  <c r="P25" i="6"/>
  <c r="R25" i="6" s="1"/>
  <c r="T25" i="6" s="1"/>
  <c r="P40" i="6"/>
  <c r="R40" i="6" s="1"/>
  <c r="T40" i="6" s="1"/>
  <c r="W4" i="6"/>
  <c r="P33" i="6"/>
  <c r="R33" i="6" s="1"/>
  <c r="T33" i="6" s="1"/>
  <c r="P21" i="6"/>
  <c r="R21" i="6" s="1"/>
  <c r="T21" i="6" s="1"/>
  <c r="P39" i="6"/>
  <c r="R39" i="6" s="1"/>
  <c r="T39" i="6" s="1"/>
  <c r="P34" i="6"/>
  <c r="R34" i="6" s="1"/>
  <c r="T34" i="6" s="1"/>
  <c r="P28" i="5"/>
  <c r="R28" i="5" s="1"/>
  <c r="T28" i="5" s="1"/>
  <c r="W5" i="5"/>
  <c r="P26" i="6"/>
  <c r="R26" i="6" s="1"/>
  <c r="T26" i="6" s="1"/>
  <c r="C11" i="2"/>
  <c r="C12" i="4"/>
  <c r="C12" i="5"/>
  <c r="C11" i="6"/>
  <c r="C11" i="5"/>
  <c r="C12" i="6"/>
  <c r="O38" i="2" l="1"/>
  <c r="O35" i="2"/>
  <c r="C15" i="2"/>
  <c r="C18" i="2" s="1"/>
  <c r="O24" i="2"/>
  <c r="O29" i="2"/>
  <c r="O21" i="2"/>
  <c r="O34" i="2"/>
  <c r="O33" i="2"/>
  <c r="O30" i="2"/>
  <c r="O28" i="2"/>
  <c r="O27" i="2"/>
  <c r="O22" i="2"/>
  <c r="O25" i="2"/>
  <c r="O26" i="2"/>
  <c r="O37" i="2"/>
  <c r="O23" i="2"/>
  <c r="O36" i="2"/>
  <c r="O31" i="2"/>
  <c r="O32" i="2"/>
  <c r="R60" i="5"/>
  <c r="T60" i="5" s="1"/>
  <c r="R52" i="5"/>
  <c r="T52" i="5" s="1"/>
  <c r="R59" i="5"/>
  <c r="T59" i="5" s="1"/>
  <c r="R58" i="5"/>
  <c r="T58" i="5" s="1"/>
  <c r="O51" i="5"/>
  <c r="O52" i="5"/>
  <c r="O49" i="5"/>
  <c r="O57" i="5"/>
  <c r="O53" i="5"/>
  <c r="O54" i="5"/>
  <c r="O47" i="5"/>
  <c r="O55" i="5"/>
  <c r="O48" i="5"/>
  <c r="O56" i="5"/>
  <c r="O50" i="5"/>
  <c r="O58" i="5"/>
  <c r="R48" i="5"/>
  <c r="T48" i="5" s="1"/>
  <c r="R53" i="5"/>
  <c r="T53" i="5" s="1"/>
  <c r="R56" i="5"/>
  <c r="T56" i="5" s="1"/>
  <c r="R57" i="5"/>
  <c r="T57" i="5" s="1"/>
  <c r="R54" i="5"/>
  <c r="T54" i="5" s="1"/>
  <c r="R49" i="5"/>
  <c r="T49" i="5" s="1"/>
  <c r="R50" i="6"/>
  <c r="T50" i="6" s="1"/>
  <c r="R58" i="6"/>
  <c r="T58" i="6" s="1"/>
  <c r="R45" i="6"/>
  <c r="T45" i="6" s="1"/>
  <c r="O51" i="6"/>
  <c r="O52" i="6"/>
  <c r="O53" i="6"/>
  <c r="O54" i="6"/>
  <c r="O49" i="6"/>
  <c r="O57" i="6"/>
  <c r="O47" i="6"/>
  <c r="O55" i="6"/>
  <c r="O48" i="6"/>
  <c r="O56" i="6"/>
  <c r="O50" i="6"/>
  <c r="O58" i="6"/>
  <c r="R52" i="6"/>
  <c r="T52" i="6" s="1"/>
  <c r="O60" i="6"/>
  <c r="R60" i="6"/>
  <c r="T60" i="6" s="1"/>
  <c r="O60" i="5"/>
  <c r="R44" i="6"/>
  <c r="T44" i="6" s="1"/>
  <c r="R46" i="6"/>
  <c r="T46" i="6" s="1"/>
  <c r="E14" i="6" s="1"/>
  <c r="O59" i="5"/>
  <c r="O59" i="6"/>
  <c r="C16" i="6"/>
  <c r="D18" i="6" s="1"/>
  <c r="O45" i="6"/>
  <c r="O46" i="6"/>
  <c r="O44" i="6"/>
  <c r="O36" i="6"/>
  <c r="O22" i="6"/>
  <c r="O38" i="6"/>
  <c r="C15" i="6"/>
  <c r="C18" i="6" s="1"/>
  <c r="O26" i="6"/>
  <c r="O39" i="6"/>
  <c r="O30" i="6"/>
  <c r="O40" i="6"/>
  <c r="O37" i="6"/>
  <c r="O35" i="6"/>
  <c r="O29" i="6"/>
  <c r="O32" i="6"/>
  <c r="O24" i="6"/>
  <c r="O41" i="6"/>
  <c r="O25" i="6"/>
  <c r="O31" i="6"/>
  <c r="O42" i="6"/>
  <c r="O27" i="6"/>
  <c r="O28" i="6"/>
  <c r="O43" i="6"/>
  <c r="O34" i="6"/>
  <c r="O21" i="6"/>
  <c r="O33" i="6"/>
  <c r="O23" i="6"/>
  <c r="K44" i="6"/>
  <c r="C16" i="5"/>
  <c r="D18" i="5" s="1"/>
  <c r="O44" i="5"/>
  <c r="O45" i="5"/>
  <c r="O46" i="5"/>
  <c r="O41" i="5"/>
  <c r="O40" i="5"/>
  <c r="O30" i="5"/>
  <c r="O32" i="5"/>
  <c r="O42" i="5"/>
  <c r="O28" i="5"/>
  <c r="O36" i="5"/>
  <c r="O33" i="5"/>
  <c r="O27" i="5"/>
  <c r="O37" i="5"/>
  <c r="O38" i="5"/>
  <c r="O34" i="5"/>
  <c r="O35" i="5"/>
  <c r="O43" i="5"/>
  <c r="O39" i="5"/>
  <c r="O31" i="5"/>
  <c r="C15" i="5"/>
  <c r="C18" i="5" s="1"/>
  <c r="O29" i="5"/>
  <c r="R44" i="5"/>
  <c r="T44" i="5" s="1"/>
  <c r="K44" i="5"/>
  <c r="R46" i="5"/>
  <c r="T46" i="5" s="1"/>
  <c r="C16" i="4"/>
  <c r="D18" i="4" s="1"/>
  <c r="O26" i="4"/>
  <c r="O22" i="4"/>
  <c r="O24" i="4"/>
  <c r="O21" i="4"/>
  <c r="O37" i="4"/>
  <c r="O23" i="4"/>
  <c r="O28" i="4"/>
  <c r="C15" i="4"/>
  <c r="O29" i="4"/>
  <c r="O27" i="4"/>
  <c r="O31" i="4"/>
  <c r="O34" i="4"/>
  <c r="O36" i="4"/>
  <c r="O35" i="4"/>
  <c r="O33" i="4"/>
  <c r="O30" i="4"/>
  <c r="O25" i="4"/>
  <c r="O38" i="4"/>
  <c r="O32" i="4"/>
  <c r="E16" i="2" l="1"/>
  <c r="E17" i="2" s="1"/>
  <c r="E14" i="5"/>
  <c r="F18" i="6"/>
  <c r="F19" i="6" s="1"/>
  <c r="F18" i="5"/>
  <c r="F19" i="5" s="1"/>
  <c r="E16" i="4"/>
  <c r="E17" i="4" s="1"/>
  <c r="C18" i="4"/>
</calcChain>
</file>

<file path=xl/sharedStrings.xml><?xml version="1.0" encoding="utf-8"?>
<sst xmlns="http://schemas.openxmlformats.org/spreadsheetml/2006/main" count="533" uniqueCount="80">
  <si>
    <t>OEJV 0189</t>
  </si>
  <si>
    <t>OEJV 0198</t>
  </si>
  <si>
    <t>OEJV 0182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</si>
  <si>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</si>
  <si>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</si>
  <si>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</si>
  <si>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</si>
  <si>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</si>
  <si>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</si>
  <si>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</si>
  <si>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</si>
  <si>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</si>
  <si>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</si>
  <si>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</si>
  <si>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</si>
  <si>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</si>
  <si>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</si>
  <si>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</si>
  <si>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</si>
  <si>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</si>
  <si>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</si>
  <si>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</si>
  <si>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</si>
  <si>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</si>
  <si>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</si>
  <si>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</si>
  <si>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</si>
  <si>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</si>
  <si>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</si>
  <si>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</si>
  <si>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</si>
  <si>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TV Mus / GSC 08980-01716</t>
  </si>
  <si>
    <t>EW</t>
  </si>
  <si>
    <t>IBVS 5507</t>
  </si>
  <si>
    <t>II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</si>
  <si>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</si>
  <si>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</si>
  <si>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</si>
  <si>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</si>
  <si>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</si>
  <si>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</si>
  <si>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</si>
  <si>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</si>
  <si>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</si>
  <si>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(Qian et al 2005)</t>
  </si>
  <si>
    <t>pe</t>
  </si>
  <si>
    <t>CCD</t>
  </si>
  <si>
    <t>Hilditch et al 1989</t>
  </si>
  <si>
    <t>Add cycle</t>
  </si>
  <si>
    <t>Old Cycle</t>
  </si>
  <si>
    <t>Note highly speculative fit in Qian et al 2005AJ....130..224</t>
  </si>
  <si>
    <t>O-C Gateway</t>
  </si>
  <si>
    <t>pg</t>
  </si>
  <si>
    <t>GCVS</t>
  </si>
  <si>
    <t>0,GCVS,0,GCVS,,</t>
  </si>
  <si>
    <t>Ogloza</t>
  </si>
  <si>
    <t>Waldemar</t>
  </si>
  <si>
    <t>I,5507,,,,Asas</t>
  </si>
  <si>
    <t>ccd</t>
  </si>
  <si>
    <t>Pojmanski</t>
  </si>
  <si>
    <t>G</t>
  </si>
  <si>
    <t>0,ASAS,,,,</t>
  </si>
  <si>
    <t>PE</t>
  </si>
  <si>
    <t>vis</t>
  </si>
  <si>
    <t>Qian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</si>
  <si>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</si>
  <si>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</si>
  <si>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</si>
  <si>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</si>
  <si>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</si>
  <si>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</si>
  <si>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First cycle count</t>
  </si>
  <si>
    <t>Pavlov 2015, pc</t>
  </si>
  <si>
    <t>JAVSO, 48, 250</t>
  </si>
  <si>
    <t>JAVSO, 49, 251</t>
  </si>
  <si>
    <t>RIX</t>
  </si>
  <si>
    <t>VSS SEB Gp</t>
  </si>
  <si>
    <t>BMGA</t>
  </si>
  <si>
    <t>TESS/RAA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</si>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</sst>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4" fillId="24" borderId="0" xfId="0" applyFont="1" applyFill="1" applyAlignment="1"/>
    <xf numFmtId="0" fontId="10" fillId="0" borderId="11" xfId="0" applyFont="1" applyBorder="1" applyAlignment="1">
      <alignment horizontal="left" vertical="center"/>
    </xf>
    <xf numFmtId="0" fontId="16" fillId="0" borderId="11" xfId="0" applyFont="1" applyBorder="1" applyAlignment="1"/>
    <xf numFmtId="0" fontId="1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17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12" xfId="0" applyBorder="1" applyAlignment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11" fillId="0" borderId="8" xfId="0" applyFont="1" applyBorder="1">
      <alignment vertical="top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0" fillId="0" borderId="13" xfId="0" applyBorder="1" applyAlignment="1"/>
    <xf numFmtId="0" fontId="0" fillId="0" borderId="14" xfId="0" applyBorder="1" applyAlignment="1"/>
    <xf numFmtId="11" fontId="0" fillId="0" borderId="0" xfId="0" applyNumberFormat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2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5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/>
    <xf numFmtId="0" fontId="16" fillId="0" borderId="0" xfId="0" applyFont="1" applyAlignment="1"/>
    <xf numFmtId="0" fontId="13" fillId="0" borderId="0" xfId="0" applyFont="1" applyAlignment="1"/>
    <xf numFmtId="0" fontId="2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8" fillId="25" borderId="0" xfId="0" applyFont="1" applyFill="1" applyAlignment="1"/>
    <xf numFmtId="0" fontId="0" fillId="0" borderId="11" xfId="0" applyBorder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166" fontId="38" fillId="0" borderId="0" xfId="0" applyNumberFormat="1" applyFont="1" applyAlignment="1"/>
    <xf numFmtId="165" fontId="38" fillId="0" borderId="0" xfId="0" applyNumberFormat="1" applyFont="1" applyAlignment="1"/>
    <xf numFmtId="0" fontId="39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/>
    <xf numFmtId="0" fontId="7" fillId="0" borderId="0" xfId="0" applyFont="1" applyAlignment="1"/>
    <xf numFmtId="0" fontId="0" fillId="0" borderId="0" xfId="0" applyBorder="1" applyAlignment="1"/>
    <xf numFmtId="0" fontId="5" fillId="0" borderId="0" xfId="0" applyFont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25169039300551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5635204020771867"/>
          <c:w val="0.81457019493270366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-1.33699784572309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3-4E87-8144-A44BF33AFDA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33-4E87-8144-A44BF33AFDA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33-4E87-8144-A44BF33AFDA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">
                  <c:v>-0.17452263486484298</c:v>
                </c:pt>
                <c:pt idx="2">
                  <c:v>-0.15641314040840371</c:v>
                </c:pt>
                <c:pt idx="3">
                  <c:v>-0.15620990899333265</c:v>
                </c:pt>
                <c:pt idx="4">
                  <c:v>8.7614624040725175E-2</c:v>
                </c:pt>
                <c:pt idx="5">
                  <c:v>-4.5092449799994938E-2</c:v>
                </c:pt>
                <c:pt idx="6">
                  <c:v>-4.5092449639923871E-2</c:v>
                </c:pt>
                <c:pt idx="7">
                  <c:v>-4.8525424106628634E-2</c:v>
                </c:pt>
                <c:pt idx="8">
                  <c:v>-4.8525424092076719E-2</c:v>
                </c:pt>
                <c:pt idx="9">
                  <c:v>-6.9614061765605584E-2</c:v>
                </c:pt>
                <c:pt idx="10">
                  <c:v>-4.7325248233391903E-2</c:v>
                </c:pt>
                <c:pt idx="11">
                  <c:v>-4.7325248204288073E-2</c:v>
                </c:pt>
                <c:pt idx="12">
                  <c:v>-4.7758222644915804E-2</c:v>
                </c:pt>
                <c:pt idx="13">
                  <c:v>-4.7758222528500482E-2</c:v>
                </c:pt>
                <c:pt idx="14">
                  <c:v>-5.0648492710024584E-2</c:v>
                </c:pt>
                <c:pt idx="15">
                  <c:v>-4.614741557452362E-2</c:v>
                </c:pt>
                <c:pt idx="16">
                  <c:v>-4.6147415509040002E-2</c:v>
                </c:pt>
                <c:pt idx="17">
                  <c:v>-5.118039004446473E-2</c:v>
                </c:pt>
                <c:pt idx="18">
                  <c:v>-5.1180389862565789E-2</c:v>
                </c:pt>
                <c:pt idx="19">
                  <c:v>-5.9956293916911818E-2</c:v>
                </c:pt>
                <c:pt idx="20">
                  <c:v>-6.8044722109334543E-2</c:v>
                </c:pt>
                <c:pt idx="21">
                  <c:v>-7.7351940359221771E-2</c:v>
                </c:pt>
                <c:pt idx="22">
                  <c:v>-8.2042440590157639E-2</c:v>
                </c:pt>
                <c:pt idx="23">
                  <c:v>-8.3954017085488886E-2</c:v>
                </c:pt>
                <c:pt idx="24">
                  <c:v>-8.430242573376745E-2</c:v>
                </c:pt>
                <c:pt idx="25">
                  <c:v>-8.5402973301825114E-2</c:v>
                </c:pt>
                <c:pt idx="38">
                  <c:v>-7.7809006092138588E-2</c:v>
                </c:pt>
                <c:pt idx="39">
                  <c:v>-7.6098443227238022E-2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33-4E87-8144-A44BF33AFDA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  <c:pt idx="26">
                  <c:v>-8.3098294635419734E-2</c:v>
                </c:pt>
                <c:pt idx="27">
                  <c:v>-8.1511278840480372E-2</c:v>
                </c:pt>
                <c:pt idx="28">
                  <c:v>-8.3311591632082127E-2</c:v>
                </c:pt>
                <c:pt idx="29">
                  <c:v>-8.0794578985660337E-2</c:v>
                </c:pt>
                <c:pt idx="30">
                  <c:v>-8.2736288546584547E-2</c:v>
                </c:pt>
                <c:pt idx="31">
                  <c:v>-8.103927702177316E-2</c:v>
                </c:pt>
                <c:pt idx="32">
                  <c:v>-8.2626121075008996E-2</c:v>
                </c:pt>
                <c:pt idx="33">
                  <c:v>-8.2546120931510814E-2</c:v>
                </c:pt>
                <c:pt idx="34">
                  <c:v>-8.1711333608836867E-2</c:v>
                </c:pt>
                <c:pt idx="35">
                  <c:v>-8.0544319134787656E-2</c:v>
                </c:pt>
                <c:pt idx="36">
                  <c:v>-8.2316004103631712E-2</c:v>
                </c:pt>
                <c:pt idx="37">
                  <c:v>-8.0528988182777539E-2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33-4E87-8144-A44BF33AFDA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33-4E87-8144-A44BF33AFDA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33-4E87-8144-A44BF33AFDA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6">
                  <c:v>-4.4716736027940324E-2</c:v>
                </c:pt>
                <c:pt idx="7">
                  <c:v>-4.4717667820276932E-2</c:v>
                </c:pt>
                <c:pt idx="8">
                  <c:v>-4.4717667820276932E-2</c:v>
                </c:pt>
                <c:pt idx="9">
                  <c:v>-4.5093180131928812E-2</c:v>
                </c:pt>
                <c:pt idx="10">
                  <c:v>-4.7659336226939381E-2</c:v>
                </c:pt>
                <c:pt idx="11">
                  <c:v>-4.7659336226939381E-2</c:v>
                </c:pt>
                <c:pt idx="12">
                  <c:v>-4.7660268019275975E-2</c:v>
                </c:pt>
                <c:pt idx="13">
                  <c:v>-4.7660268019275975E-2</c:v>
                </c:pt>
                <c:pt idx="14">
                  <c:v>-4.8810099762646733E-2</c:v>
                </c:pt>
                <c:pt idx="15">
                  <c:v>-4.8812895139656545E-2</c:v>
                </c:pt>
                <c:pt idx="16">
                  <c:v>-4.8812895139656545E-2</c:v>
                </c:pt>
                <c:pt idx="17">
                  <c:v>-4.8813826931993154E-2</c:v>
                </c:pt>
                <c:pt idx="18">
                  <c:v>-4.8813826931993154E-2</c:v>
                </c:pt>
                <c:pt idx="19">
                  <c:v>-7.197352545831405E-2</c:v>
                </c:pt>
                <c:pt idx="20">
                  <c:v>-7.3733681182161157E-2</c:v>
                </c:pt>
                <c:pt idx="21">
                  <c:v>-7.6552353000391718E-2</c:v>
                </c:pt>
                <c:pt idx="22">
                  <c:v>-7.6715416659297639E-2</c:v>
                </c:pt>
                <c:pt idx="23">
                  <c:v>-7.8216534113568506E-2</c:v>
                </c:pt>
                <c:pt idx="24">
                  <c:v>-7.8237965337310436E-2</c:v>
                </c:pt>
                <c:pt idx="25">
                  <c:v>-7.9776354485045539E-2</c:v>
                </c:pt>
                <c:pt idx="26">
                  <c:v>-8.1279335523989624E-2</c:v>
                </c:pt>
                <c:pt idx="27">
                  <c:v>-8.1280267316326246E-2</c:v>
                </c:pt>
                <c:pt idx="28">
                  <c:v>-8.1324061556146673E-2</c:v>
                </c:pt>
                <c:pt idx="29">
                  <c:v>-8.1324993348483296E-2</c:v>
                </c:pt>
                <c:pt idx="30">
                  <c:v>-8.1381832681016189E-2</c:v>
                </c:pt>
                <c:pt idx="31">
                  <c:v>-8.1382764473352812E-2</c:v>
                </c:pt>
                <c:pt idx="32">
                  <c:v>-8.1391150604382248E-2</c:v>
                </c:pt>
                <c:pt idx="33">
                  <c:v>-8.1391150604382248E-2</c:v>
                </c:pt>
                <c:pt idx="34">
                  <c:v>-8.1439603805885705E-2</c:v>
                </c:pt>
                <c:pt idx="35">
                  <c:v>-8.1440535598222327E-2</c:v>
                </c:pt>
                <c:pt idx="36">
                  <c:v>-8.1497374930755248E-2</c:v>
                </c:pt>
                <c:pt idx="37">
                  <c:v>-8.1498306723091843E-2</c:v>
                </c:pt>
                <c:pt idx="38">
                  <c:v>-8.2674228651887546E-2</c:v>
                </c:pt>
                <c:pt idx="39">
                  <c:v>-8.4651491990163655E-2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33-4E87-8144-A44BF33AFDA6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-1.3381186705562511</c:v>
                </c:pt>
                <c:pt idx="1">
                  <c:v>-1.1492317291407672</c:v>
                </c:pt>
                <c:pt idx="2">
                  <c:v>-0.97523525055398474</c:v>
                </c:pt>
                <c:pt idx="3">
                  <c:v>-0.81612923479590305</c:v>
                </c:pt>
                <c:pt idx="4">
                  <c:v>-0.67191368186652256</c:v>
                </c:pt>
                <c:pt idx="5">
                  <c:v>-0.54258859176584318</c:v>
                </c:pt>
                <c:pt idx="6">
                  <c:v>-0.42815396449386472</c:v>
                </c:pt>
                <c:pt idx="7">
                  <c:v>-0.32860980005058738</c:v>
                </c:pt>
                <c:pt idx="8">
                  <c:v>-0.24395609843601135</c:v>
                </c:pt>
                <c:pt idx="9">
                  <c:v>-0.17419285965013609</c:v>
                </c:pt>
                <c:pt idx="10">
                  <c:v>-0.11932008369296232</c:v>
                </c:pt>
                <c:pt idx="11">
                  <c:v>-7.9337770564489318E-2</c:v>
                </c:pt>
                <c:pt idx="12">
                  <c:v>-5.4245920264717418E-2</c:v>
                </c:pt>
                <c:pt idx="13">
                  <c:v>-4.4044532793646507E-2</c:v>
                </c:pt>
                <c:pt idx="14">
                  <c:v>-4.8733608151276808E-2</c:v>
                </c:pt>
                <c:pt idx="15">
                  <c:v>-6.8313146337608543E-2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33-4E87-8144-A44BF33A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699936"/>
        <c:axId val="1"/>
      </c:scatterChart>
      <c:valAx>
        <c:axId val="5146999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3062026041533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61564201868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699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9074585875441"/>
          <c:y val="0.91531081416125915"/>
          <c:w val="0.79139142375414995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355371900826445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5483895356437999"/>
          <c:w val="0.80495867768595042"/>
          <c:h val="0.60967837965974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-1.33699784572309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AA-4140-981B-DE610C38C9E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AA-4140-981B-DE610C38C9E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AA-4140-981B-DE610C38C9E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">
                  <c:v>-0.17452263486484298</c:v>
                </c:pt>
                <c:pt idx="2">
                  <c:v>-0.15641314040840371</c:v>
                </c:pt>
                <c:pt idx="3">
                  <c:v>-0.15620990899333265</c:v>
                </c:pt>
                <c:pt idx="4">
                  <c:v>8.7614624040725175E-2</c:v>
                </c:pt>
                <c:pt idx="5">
                  <c:v>-4.5092449799994938E-2</c:v>
                </c:pt>
                <c:pt idx="6">
                  <c:v>-4.5092449639923871E-2</c:v>
                </c:pt>
                <c:pt idx="7">
                  <c:v>-4.8525424106628634E-2</c:v>
                </c:pt>
                <c:pt idx="8">
                  <c:v>-4.8525424092076719E-2</c:v>
                </c:pt>
                <c:pt idx="9">
                  <c:v>-6.9614061765605584E-2</c:v>
                </c:pt>
                <c:pt idx="10">
                  <c:v>-4.7325248233391903E-2</c:v>
                </c:pt>
                <c:pt idx="11">
                  <c:v>-4.7325248204288073E-2</c:v>
                </c:pt>
                <c:pt idx="12">
                  <c:v>-4.7758222644915804E-2</c:v>
                </c:pt>
                <c:pt idx="13">
                  <c:v>-4.7758222528500482E-2</c:v>
                </c:pt>
                <c:pt idx="14">
                  <c:v>-5.0648492710024584E-2</c:v>
                </c:pt>
                <c:pt idx="15">
                  <c:v>-4.614741557452362E-2</c:v>
                </c:pt>
                <c:pt idx="16">
                  <c:v>-4.6147415509040002E-2</c:v>
                </c:pt>
                <c:pt idx="17">
                  <c:v>-5.118039004446473E-2</c:v>
                </c:pt>
                <c:pt idx="18">
                  <c:v>-5.1180389862565789E-2</c:v>
                </c:pt>
                <c:pt idx="19">
                  <c:v>-5.9956293916911818E-2</c:v>
                </c:pt>
                <c:pt idx="20">
                  <c:v>-6.8044722109334543E-2</c:v>
                </c:pt>
                <c:pt idx="21">
                  <c:v>-7.7351940359221771E-2</c:v>
                </c:pt>
                <c:pt idx="22">
                  <c:v>-8.2042440590157639E-2</c:v>
                </c:pt>
                <c:pt idx="23">
                  <c:v>-8.3954017085488886E-2</c:v>
                </c:pt>
                <c:pt idx="24">
                  <c:v>-8.430242573376745E-2</c:v>
                </c:pt>
                <c:pt idx="25">
                  <c:v>-8.5402973301825114E-2</c:v>
                </c:pt>
                <c:pt idx="38">
                  <c:v>-7.7809006092138588E-2</c:v>
                </c:pt>
                <c:pt idx="39">
                  <c:v>-7.6098443227238022E-2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AA-4140-981B-DE610C38C9E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  <c:pt idx="26">
                  <c:v>-8.3098294635419734E-2</c:v>
                </c:pt>
                <c:pt idx="27">
                  <c:v>-8.1511278840480372E-2</c:v>
                </c:pt>
                <c:pt idx="28">
                  <c:v>-8.3311591632082127E-2</c:v>
                </c:pt>
                <c:pt idx="29">
                  <c:v>-8.0794578985660337E-2</c:v>
                </c:pt>
                <c:pt idx="30">
                  <c:v>-8.2736288546584547E-2</c:v>
                </c:pt>
                <c:pt idx="31">
                  <c:v>-8.103927702177316E-2</c:v>
                </c:pt>
                <c:pt idx="32">
                  <c:v>-8.2626121075008996E-2</c:v>
                </c:pt>
                <c:pt idx="33">
                  <c:v>-8.2546120931510814E-2</c:v>
                </c:pt>
                <c:pt idx="34">
                  <c:v>-8.1711333608836867E-2</c:v>
                </c:pt>
                <c:pt idx="35">
                  <c:v>-8.0544319134787656E-2</c:v>
                </c:pt>
                <c:pt idx="36">
                  <c:v>-8.2316004103631712E-2</c:v>
                </c:pt>
                <c:pt idx="37">
                  <c:v>-8.0528988182777539E-2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AA-4140-981B-DE610C38C9E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AA-4140-981B-DE610C38C9E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AA-4140-981B-DE610C38C9E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6">
                  <c:v>-4.4716736027940324E-2</c:v>
                </c:pt>
                <c:pt idx="7">
                  <c:v>-4.4717667820276932E-2</c:v>
                </c:pt>
                <c:pt idx="8">
                  <c:v>-4.4717667820276932E-2</c:v>
                </c:pt>
                <c:pt idx="9">
                  <c:v>-4.5093180131928812E-2</c:v>
                </c:pt>
                <c:pt idx="10">
                  <c:v>-4.7659336226939381E-2</c:v>
                </c:pt>
                <c:pt idx="11">
                  <c:v>-4.7659336226939381E-2</c:v>
                </c:pt>
                <c:pt idx="12">
                  <c:v>-4.7660268019275975E-2</c:v>
                </c:pt>
                <c:pt idx="13">
                  <c:v>-4.7660268019275975E-2</c:v>
                </c:pt>
                <c:pt idx="14">
                  <c:v>-4.8810099762646733E-2</c:v>
                </c:pt>
                <c:pt idx="15">
                  <c:v>-4.8812895139656545E-2</c:v>
                </c:pt>
                <c:pt idx="16">
                  <c:v>-4.8812895139656545E-2</c:v>
                </c:pt>
                <c:pt idx="17">
                  <c:v>-4.8813826931993154E-2</c:v>
                </c:pt>
                <c:pt idx="18">
                  <c:v>-4.8813826931993154E-2</c:v>
                </c:pt>
                <c:pt idx="19">
                  <c:v>-7.197352545831405E-2</c:v>
                </c:pt>
                <c:pt idx="20">
                  <c:v>-7.3733681182161157E-2</c:v>
                </c:pt>
                <c:pt idx="21">
                  <c:v>-7.6552353000391718E-2</c:v>
                </c:pt>
                <c:pt idx="22">
                  <c:v>-7.6715416659297639E-2</c:v>
                </c:pt>
                <c:pt idx="23">
                  <c:v>-7.8216534113568506E-2</c:v>
                </c:pt>
                <c:pt idx="24">
                  <c:v>-7.8237965337310436E-2</c:v>
                </c:pt>
                <c:pt idx="25">
                  <c:v>-7.9776354485045539E-2</c:v>
                </c:pt>
                <c:pt idx="26">
                  <c:v>-8.1279335523989624E-2</c:v>
                </c:pt>
                <c:pt idx="27">
                  <c:v>-8.1280267316326246E-2</c:v>
                </c:pt>
                <c:pt idx="28">
                  <c:v>-8.1324061556146673E-2</c:v>
                </c:pt>
                <c:pt idx="29">
                  <c:v>-8.1324993348483296E-2</c:v>
                </c:pt>
                <c:pt idx="30">
                  <c:v>-8.1381832681016189E-2</c:v>
                </c:pt>
                <c:pt idx="31">
                  <c:v>-8.1382764473352812E-2</c:v>
                </c:pt>
                <c:pt idx="32">
                  <c:v>-8.1391150604382248E-2</c:v>
                </c:pt>
                <c:pt idx="33">
                  <c:v>-8.1391150604382248E-2</c:v>
                </c:pt>
                <c:pt idx="34">
                  <c:v>-8.1439603805885705E-2</c:v>
                </c:pt>
                <c:pt idx="35">
                  <c:v>-8.1440535598222327E-2</c:v>
                </c:pt>
                <c:pt idx="36">
                  <c:v>-8.1497374930755248E-2</c:v>
                </c:pt>
                <c:pt idx="37">
                  <c:v>-8.1498306723091843E-2</c:v>
                </c:pt>
                <c:pt idx="38">
                  <c:v>-8.2674228651887546E-2</c:v>
                </c:pt>
                <c:pt idx="39">
                  <c:v>-8.4651491990163655E-2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AA-4140-981B-DE610C38C9EB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-1.3381186705562511</c:v>
                </c:pt>
                <c:pt idx="1">
                  <c:v>-1.1492317291407672</c:v>
                </c:pt>
                <c:pt idx="2">
                  <c:v>-0.97523525055398474</c:v>
                </c:pt>
                <c:pt idx="3">
                  <c:v>-0.81612923479590305</c:v>
                </c:pt>
                <c:pt idx="4">
                  <c:v>-0.67191368186652256</c:v>
                </c:pt>
                <c:pt idx="5">
                  <c:v>-0.54258859176584318</c:v>
                </c:pt>
                <c:pt idx="6">
                  <c:v>-0.42815396449386472</c:v>
                </c:pt>
                <c:pt idx="7">
                  <c:v>-0.32860980005058738</c:v>
                </c:pt>
                <c:pt idx="8">
                  <c:v>-0.24395609843601135</c:v>
                </c:pt>
                <c:pt idx="9">
                  <c:v>-0.17419285965013609</c:v>
                </c:pt>
                <c:pt idx="10">
                  <c:v>-0.11932008369296232</c:v>
                </c:pt>
                <c:pt idx="11">
                  <c:v>-7.9337770564489318E-2</c:v>
                </c:pt>
                <c:pt idx="12">
                  <c:v>-5.4245920264717418E-2</c:v>
                </c:pt>
                <c:pt idx="13">
                  <c:v>-4.4044532793646507E-2</c:v>
                </c:pt>
                <c:pt idx="14">
                  <c:v>-4.8733608151276808E-2</c:v>
                </c:pt>
                <c:pt idx="15">
                  <c:v>-6.8313146337608543E-2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AA-4140-981B-DE610C38C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034872"/>
        <c:axId val="1"/>
      </c:scatterChart>
      <c:valAx>
        <c:axId val="441034872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6694214876038"/>
              <c:y val="0.82903361273389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612909999153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34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24793388429751"/>
          <c:y val="0.91613038692744042"/>
          <c:w val="0.79008264462809918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251682564069732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5635204020771867"/>
          <c:w val="0.8046364120676706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2'!$H$21:$H$997</c:f>
              <c:numCache>
                <c:formatCode>General</c:formatCode>
                <c:ptCount val="977"/>
                <c:pt idx="0">
                  <c:v>-0.44566594857315067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8-4761-BA35-3B41830B99E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8-4761-BA35-3B41830B99E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8-4761-BA35-3B41830B99E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2'!$K$21:$K$997</c:f>
              <c:numCache>
                <c:formatCode>General</c:formatCode>
                <c:ptCount val="977"/>
                <c:pt idx="1">
                  <c:v>4.8310339421732351E-2</c:v>
                </c:pt>
                <c:pt idx="2">
                  <c:v>-0.15641314040840371</c:v>
                </c:pt>
                <c:pt idx="3">
                  <c:v>-0.15620990899333265</c:v>
                </c:pt>
                <c:pt idx="4">
                  <c:v>-0.13521835025312612</c:v>
                </c:pt>
                <c:pt idx="5">
                  <c:v>-4.5092449799994938E-2</c:v>
                </c:pt>
                <c:pt idx="6">
                  <c:v>-4.5092449639923871E-2</c:v>
                </c:pt>
                <c:pt idx="7">
                  <c:v>-4.8525424106628634E-2</c:v>
                </c:pt>
                <c:pt idx="8">
                  <c:v>-4.8525424092076719E-2</c:v>
                </c:pt>
                <c:pt idx="9">
                  <c:v>-6.9614061765605584E-2</c:v>
                </c:pt>
                <c:pt idx="10">
                  <c:v>-4.7325248233391903E-2</c:v>
                </c:pt>
                <c:pt idx="11">
                  <c:v>-4.7325248204288073E-2</c:v>
                </c:pt>
                <c:pt idx="12">
                  <c:v>-4.7758222644915804E-2</c:v>
                </c:pt>
                <c:pt idx="13">
                  <c:v>-4.7758222528500482E-2</c:v>
                </c:pt>
                <c:pt idx="14">
                  <c:v>-5.0648492710024584E-2</c:v>
                </c:pt>
                <c:pt idx="15">
                  <c:v>-4.614741557452362E-2</c:v>
                </c:pt>
                <c:pt idx="16">
                  <c:v>-4.6147415509040002E-2</c:v>
                </c:pt>
                <c:pt idx="17">
                  <c:v>-5.118039004446473E-2</c:v>
                </c:pt>
                <c:pt idx="18">
                  <c:v>-5.1180389862565789E-2</c:v>
                </c:pt>
                <c:pt idx="19">
                  <c:v>-5.9956293916911818E-2</c:v>
                </c:pt>
                <c:pt idx="20">
                  <c:v>-6.8044722109334543E-2</c:v>
                </c:pt>
                <c:pt idx="21">
                  <c:v>-7.7351940359221771E-2</c:v>
                </c:pt>
                <c:pt idx="22">
                  <c:v>-8.2042440590157639E-2</c:v>
                </c:pt>
                <c:pt idx="23">
                  <c:v>-8.3954017085488886E-2</c:v>
                </c:pt>
                <c:pt idx="24">
                  <c:v>-8.430242573376745E-2</c:v>
                </c:pt>
                <c:pt idx="25">
                  <c:v>-8.5402973301825114E-2</c:v>
                </c:pt>
                <c:pt idx="38">
                  <c:v>-7.7809006092138588E-2</c:v>
                </c:pt>
                <c:pt idx="39">
                  <c:v>-7.6098443227238022E-2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08-4761-BA35-3B41830B99E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2'!$L$21:$L$997</c:f>
              <c:numCache>
                <c:formatCode>General</c:formatCode>
                <c:ptCount val="977"/>
                <c:pt idx="26">
                  <c:v>-8.3098294635419734E-2</c:v>
                </c:pt>
                <c:pt idx="27">
                  <c:v>-8.1511278840480372E-2</c:v>
                </c:pt>
                <c:pt idx="28">
                  <c:v>-8.3311591632082127E-2</c:v>
                </c:pt>
                <c:pt idx="29">
                  <c:v>-8.0794578985660337E-2</c:v>
                </c:pt>
                <c:pt idx="30">
                  <c:v>-8.2736288546584547E-2</c:v>
                </c:pt>
                <c:pt idx="31">
                  <c:v>-8.103927702177316E-2</c:v>
                </c:pt>
                <c:pt idx="32">
                  <c:v>-8.2626121075008996E-2</c:v>
                </c:pt>
                <c:pt idx="33">
                  <c:v>-8.2546120931510814E-2</c:v>
                </c:pt>
                <c:pt idx="34">
                  <c:v>-8.1711333608836867E-2</c:v>
                </c:pt>
                <c:pt idx="35">
                  <c:v>-8.0544319134787656E-2</c:v>
                </c:pt>
                <c:pt idx="36">
                  <c:v>-8.2316004103631712E-2</c:v>
                </c:pt>
                <c:pt idx="37">
                  <c:v>-8.0528988182777539E-2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08-4761-BA35-3B41830B99E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08-4761-BA35-3B41830B99E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08-4761-BA35-3B41830B99E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2'!$O$21:$O$997</c:f>
              <c:numCache>
                <c:formatCode>General</c:formatCode>
                <c:ptCount val="977"/>
                <c:pt idx="0">
                  <c:v>6.5758744954383483E-2</c:v>
                </c:pt>
                <c:pt idx="1">
                  <c:v>-9.7389288486569026E-3</c:v>
                </c:pt>
                <c:pt idx="2">
                  <c:v>-2.1795137853385341E-2</c:v>
                </c:pt>
                <c:pt idx="3">
                  <c:v>-2.1803528348362342E-2</c:v>
                </c:pt>
                <c:pt idx="4">
                  <c:v>-2.4724352877577793E-2</c:v>
                </c:pt>
                <c:pt idx="5">
                  <c:v>-4.4698392308934645E-2</c:v>
                </c:pt>
                <c:pt idx="6">
                  <c:v>-4.4698392308934645E-2</c:v>
                </c:pt>
                <c:pt idx="7">
                  <c:v>-4.4699324586154304E-2</c:v>
                </c:pt>
                <c:pt idx="8">
                  <c:v>-4.4699324586154304E-2</c:v>
                </c:pt>
                <c:pt idx="9">
                  <c:v>-4.5075032305679941E-2</c:v>
                </c:pt>
                <c:pt idx="10">
                  <c:v>-4.7642523768641754E-2</c:v>
                </c:pt>
                <c:pt idx="11">
                  <c:v>-4.7642523768641754E-2</c:v>
                </c:pt>
                <c:pt idx="12">
                  <c:v>-4.7643456045861426E-2</c:v>
                </c:pt>
                <c:pt idx="13">
                  <c:v>-4.7643456045861426E-2</c:v>
                </c:pt>
                <c:pt idx="14">
                  <c:v>-4.8793886134930006E-2</c:v>
                </c:pt>
                <c:pt idx="15">
                  <c:v>-4.8796682966588997E-2</c:v>
                </c:pt>
                <c:pt idx="16">
                  <c:v>-4.8796682966588997E-2</c:v>
                </c:pt>
                <c:pt idx="17">
                  <c:v>-4.879761524380867E-2</c:v>
                </c:pt>
                <c:pt idx="18">
                  <c:v>-4.879761524380867E-2</c:v>
                </c:pt>
                <c:pt idx="19">
                  <c:v>-7.1969365538621932E-2</c:v>
                </c:pt>
                <c:pt idx="20">
                  <c:v>-7.3730437206572158E-2</c:v>
                </c:pt>
                <c:pt idx="21">
                  <c:v>-7.6550575796063614E-2</c:v>
                </c:pt>
                <c:pt idx="22">
                  <c:v>-7.6713724309505266E-2</c:v>
                </c:pt>
                <c:pt idx="23">
                  <c:v>-7.8215622910388138E-2</c:v>
                </c:pt>
                <c:pt idx="24">
                  <c:v>-7.8237065286440477E-2</c:v>
                </c:pt>
                <c:pt idx="25">
                  <c:v>-7.9776254976110045E-2</c:v>
                </c:pt>
                <c:pt idx="26">
                  <c:v>-8.1280018131432263E-2</c:v>
                </c:pt>
                <c:pt idx="27">
                  <c:v>-8.1280950408651909E-2</c:v>
                </c:pt>
                <c:pt idx="28">
                  <c:v>-8.1324767437976259E-2</c:v>
                </c:pt>
                <c:pt idx="29">
                  <c:v>-8.1325699715195904E-2</c:v>
                </c:pt>
                <c:pt idx="30">
                  <c:v>-8.1382568625595592E-2</c:v>
                </c:pt>
                <c:pt idx="31">
                  <c:v>-8.1383500902815237E-2</c:v>
                </c:pt>
                <c:pt idx="32">
                  <c:v>-8.1391891397792238E-2</c:v>
                </c:pt>
                <c:pt idx="33">
                  <c:v>-8.1391891397792238E-2</c:v>
                </c:pt>
                <c:pt idx="34">
                  <c:v>-8.1440369813214897E-2</c:v>
                </c:pt>
                <c:pt idx="35">
                  <c:v>-8.144130209043457E-2</c:v>
                </c:pt>
                <c:pt idx="36">
                  <c:v>-8.149817100083423E-2</c:v>
                </c:pt>
                <c:pt idx="37">
                  <c:v>-8.1499103278053903E-2</c:v>
                </c:pt>
                <c:pt idx="38">
                  <c:v>-8.2675637129273144E-2</c:v>
                </c:pt>
                <c:pt idx="39">
                  <c:v>-8.4653929389405663E-2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08-4761-BA35-3B41830B99E7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'Active 2'!$W$2:$W$17</c:f>
              <c:numCache>
                <c:formatCode>General</c:formatCode>
                <c:ptCount val="16"/>
                <c:pt idx="0">
                  <c:v>-0.45401317143617431</c:v>
                </c:pt>
                <c:pt idx="1">
                  <c:v>-0.40689572665201351</c:v>
                </c:pt>
                <c:pt idx="2">
                  <c:v>-0.36241974389079584</c:v>
                </c:pt>
                <c:pt idx="3">
                  <c:v>-0.32058522315252141</c:v>
                </c:pt>
                <c:pt idx="4">
                  <c:v>-0.28139216443719023</c:v>
                </c:pt>
                <c:pt idx="5">
                  <c:v>-0.2448405677448022</c:v>
                </c:pt>
                <c:pt idx="6">
                  <c:v>-0.21093043307535744</c:v>
                </c:pt>
                <c:pt idx="7">
                  <c:v>-0.17966176042885584</c:v>
                </c:pt>
                <c:pt idx="8">
                  <c:v>-0.15103454980529751</c:v>
                </c:pt>
                <c:pt idx="9">
                  <c:v>-0.12504880120468237</c:v>
                </c:pt>
                <c:pt idx="10">
                  <c:v>-0.10170451462701041</c:v>
                </c:pt>
                <c:pt idx="11">
                  <c:v>-8.1001690072281668E-2</c:v>
                </c:pt>
                <c:pt idx="12">
                  <c:v>-6.2940327540496249E-2</c:v>
                </c:pt>
                <c:pt idx="13">
                  <c:v>-4.7520427031653933E-2</c:v>
                </c:pt>
                <c:pt idx="14">
                  <c:v>-3.4741988545754832E-2</c:v>
                </c:pt>
                <c:pt idx="15">
                  <c:v>-2.4605012082798916E-2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08-4761-BA35-3B41830B9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82744"/>
        <c:axId val="1"/>
      </c:scatterChart>
      <c:valAx>
        <c:axId val="4325827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85905725202"/>
              <c:y val="0.83062026041533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8442694663E-2"/>
              <c:y val="0.361564201868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58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87437850756459"/>
          <c:y val="0.91531081416125915"/>
          <c:w val="0.79139141753622255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355371900826445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5483895356437999"/>
          <c:w val="0.80495867768595042"/>
          <c:h val="0.60967837965974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2'!$H$21:$H$997</c:f>
              <c:numCache>
                <c:formatCode>General</c:formatCode>
                <c:ptCount val="977"/>
                <c:pt idx="0">
                  <c:v>-0.44566594857315067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48-4AE5-93A4-1A6B2AEF8CD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48-4AE5-93A4-1A6B2AEF8CD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48-4AE5-93A4-1A6B2AEF8CD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2'!$K$21:$K$997</c:f>
              <c:numCache>
                <c:formatCode>General</c:formatCode>
                <c:ptCount val="977"/>
                <c:pt idx="1">
                  <c:v>4.8310339421732351E-2</c:v>
                </c:pt>
                <c:pt idx="2">
                  <c:v>-0.15641314040840371</c:v>
                </c:pt>
                <c:pt idx="3">
                  <c:v>-0.15620990899333265</c:v>
                </c:pt>
                <c:pt idx="4">
                  <c:v>-0.13521835025312612</c:v>
                </c:pt>
                <c:pt idx="5">
                  <c:v>-4.5092449799994938E-2</c:v>
                </c:pt>
                <c:pt idx="6">
                  <c:v>-4.5092449639923871E-2</c:v>
                </c:pt>
                <c:pt idx="7">
                  <c:v>-4.8525424106628634E-2</c:v>
                </c:pt>
                <c:pt idx="8">
                  <c:v>-4.8525424092076719E-2</c:v>
                </c:pt>
                <c:pt idx="9">
                  <c:v>-6.9614061765605584E-2</c:v>
                </c:pt>
                <c:pt idx="10">
                  <c:v>-4.7325248233391903E-2</c:v>
                </c:pt>
                <c:pt idx="11">
                  <c:v>-4.7325248204288073E-2</c:v>
                </c:pt>
                <c:pt idx="12">
                  <c:v>-4.7758222644915804E-2</c:v>
                </c:pt>
                <c:pt idx="13">
                  <c:v>-4.7758222528500482E-2</c:v>
                </c:pt>
                <c:pt idx="14">
                  <c:v>-5.0648492710024584E-2</c:v>
                </c:pt>
                <c:pt idx="15">
                  <c:v>-4.614741557452362E-2</c:v>
                </c:pt>
                <c:pt idx="16">
                  <c:v>-4.6147415509040002E-2</c:v>
                </c:pt>
                <c:pt idx="17">
                  <c:v>-5.118039004446473E-2</c:v>
                </c:pt>
                <c:pt idx="18">
                  <c:v>-5.1180389862565789E-2</c:v>
                </c:pt>
                <c:pt idx="19">
                  <c:v>-5.9956293916911818E-2</c:v>
                </c:pt>
                <c:pt idx="20">
                  <c:v>-6.8044722109334543E-2</c:v>
                </c:pt>
                <c:pt idx="21">
                  <c:v>-7.7351940359221771E-2</c:v>
                </c:pt>
                <c:pt idx="22">
                  <c:v>-8.2042440590157639E-2</c:v>
                </c:pt>
                <c:pt idx="23">
                  <c:v>-8.3954017085488886E-2</c:v>
                </c:pt>
                <c:pt idx="24">
                  <c:v>-8.430242573376745E-2</c:v>
                </c:pt>
                <c:pt idx="25">
                  <c:v>-8.5402973301825114E-2</c:v>
                </c:pt>
                <c:pt idx="38">
                  <c:v>-7.7809006092138588E-2</c:v>
                </c:pt>
                <c:pt idx="39">
                  <c:v>-7.6098443227238022E-2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48-4AE5-93A4-1A6B2AEF8CD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2'!$L$21:$L$997</c:f>
              <c:numCache>
                <c:formatCode>General</c:formatCode>
                <c:ptCount val="977"/>
                <c:pt idx="26">
                  <c:v>-8.3098294635419734E-2</c:v>
                </c:pt>
                <c:pt idx="27">
                  <c:v>-8.1511278840480372E-2</c:v>
                </c:pt>
                <c:pt idx="28">
                  <c:v>-8.3311591632082127E-2</c:v>
                </c:pt>
                <c:pt idx="29">
                  <c:v>-8.0794578985660337E-2</c:v>
                </c:pt>
                <c:pt idx="30">
                  <c:v>-8.2736288546584547E-2</c:v>
                </c:pt>
                <c:pt idx="31">
                  <c:v>-8.103927702177316E-2</c:v>
                </c:pt>
                <c:pt idx="32">
                  <c:v>-8.2626121075008996E-2</c:v>
                </c:pt>
                <c:pt idx="33">
                  <c:v>-8.2546120931510814E-2</c:v>
                </c:pt>
                <c:pt idx="34">
                  <c:v>-8.1711333608836867E-2</c:v>
                </c:pt>
                <c:pt idx="35">
                  <c:v>-8.0544319134787656E-2</c:v>
                </c:pt>
                <c:pt idx="36">
                  <c:v>-8.2316004103631712E-2</c:v>
                </c:pt>
                <c:pt idx="37">
                  <c:v>-8.0528988182777539E-2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48-4AE5-93A4-1A6B2AEF8CD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48-4AE5-93A4-1A6B2AEF8CD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48-4AE5-93A4-1A6B2AEF8CD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2'!$O$21:$O$997</c:f>
              <c:numCache>
                <c:formatCode>General</c:formatCode>
                <c:ptCount val="977"/>
                <c:pt idx="0">
                  <c:v>6.5758744954383483E-2</c:v>
                </c:pt>
                <c:pt idx="1">
                  <c:v>-9.7389288486569026E-3</c:v>
                </c:pt>
                <c:pt idx="2">
                  <c:v>-2.1795137853385341E-2</c:v>
                </c:pt>
                <c:pt idx="3">
                  <c:v>-2.1803528348362342E-2</c:v>
                </c:pt>
                <c:pt idx="4">
                  <c:v>-2.4724352877577793E-2</c:v>
                </c:pt>
                <c:pt idx="5">
                  <c:v>-4.4698392308934645E-2</c:v>
                </c:pt>
                <c:pt idx="6">
                  <c:v>-4.4698392308934645E-2</c:v>
                </c:pt>
                <c:pt idx="7">
                  <c:v>-4.4699324586154304E-2</c:v>
                </c:pt>
                <c:pt idx="8">
                  <c:v>-4.4699324586154304E-2</c:v>
                </c:pt>
                <c:pt idx="9">
                  <c:v>-4.5075032305679941E-2</c:v>
                </c:pt>
                <c:pt idx="10">
                  <c:v>-4.7642523768641754E-2</c:v>
                </c:pt>
                <c:pt idx="11">
                  <c:v>-4.7642523768641754E-2</c:v>
                </c:pt>
                <c:pt idx="12">
                  <c:v>-4.7643456045861426E-2</c:v>
                </c:pt>
                <c:pt idx="13">
                  <c:v>-4.7643456045861426E-2</c:v>
                </c:pt>
                <c:pt idx="14">
                  <c:v>-4.8793886134930006E-2</c:v>
                </c:pt>
                <c:pt idx="15">
                  <c:v>-4.8796682966588997E-2</c:v>
                </c:pt>
                <c:pt idx="16">
                  <c:v>-4.8796682966588997E-2</c:v>
                </c:pt>
                <c:pt idx="17">
                  <c:v>-4.879761524380867E-2</c:v>
                </c:pt>
                <c:pt idx="18">
                  <c:v>-4.879761524380867E-2</c:v>
                </c:pt>
                <c:pt idx="19">
                  <c:v>-7.1969365538621932E-2</c:v>
                </c:pt>
                <c:pt idx="20">
                  <c:v>-7.3730437206572158E-2</c:v>
                </c:pt>
                <c:pt idx="21">
                  <c:v>-7.6550575796063614E-2</c:v>
                </c:pt>
                <c:pt idx="22">
                  <c:v>-7.6713724309505266E-2</c:v>
                </c:pt>
                <c:pt idx="23">
                  <c:v>-7.8215622910388138E-2</c:v>
                </c:pt>
                <c:pt idx="24">
                  <c:v>-7.8237065286440477E-2</c:v>
                </c:pt>
                <c:pt idx="25">
                  <c:v>-7.9776254976110045E-2</c:v>
                </c:pt>
                <c:pt idx="26">
                  <c:v>-8.1280018131432263E-2</c:v>
                </c:pt>
                <c:pt idx="27">
                  <c:v>-8.1280950408651909E-2</c:v>
                </c:pt>
                <c:pt idx="28">
                  <c:v>-8.1324767437976259E-2</c:v>
                </c:pt>
                <c:pt idx="29">
                  <c:v>-8.1325699715195904E-2</c:v>
                </c:pt>
                <c:pt idx="30">
                  <c:v>-8.1382568625595592E-2</c:v>
                </c:pt>
                <c:pt idx="31">
                  <c:v>-8.1383500902815237E-2</c:v>
                </c:pt>
                <c:pt idx="32">
                  <c:v>-8.1391891397792238E-2</c:v>
                </c:pt>
                <c:pt idx="33">
                  <c:v>-8.1391891397792238E-2</c:v>
                </c:pt>
                <c:pt idx="34">
                  <c:v>-8.1440369813214897E-2</c:v>
                </c:pt>
                <c:pt idx="35">
                  <c:v>-8.144130209043457E-2</c:v>
                </c:pt>
                <c:pt idx="36">
                  <c:v>-8.149817100083423E-2</c:v>
                </c:pt>
                <c:pt idx="37">
                  <c:v>-8.1499103278053903E-2</c:v>
                </c:pt>
                <c:pt idx="38">
                  <c:v>-8.2675637129273144E-2</c:v>
                </c:pt>
                <c:pt idx="39">
                  <c:v>-8.4653929389405663E-2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48-4AE5-93A4-1A6B2AEF8CD8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'Active 2'!$W$2:$W$17</c:f>
              <c:numCache>
                <c:formatCode>General</c:formatCode>
                <c:ptCount val="16"/>
                <c:pt idx="0">
                  <c:v>-0.45401317143617431</c:v>
                </c:pt>
                <c:pt idx="1">
                  <c:v>-0.40689572665201351</c:v>
                </c:pt>
                <c:pt idx="2">
                  <c:v>-0.36241974389079584</c:v>
                </c:pt>
                <c:pt idx="3">
                  <c:v>-0.32058522315252141</c:v>
                </c:pt>
                <c:pt idx="4">
                  <c:v>-0.28139216443719023</c:v>
                </c:pt>
                <c:pt idx="5">
                  <c:v>-0.2448405677448022</c:v>
                </c:pt>
                <c:pt idx="6">
                  <c:v>-0.21093043307535744</c:v>
                </c:pt>
                <c:pt idx="7">
                  <c:v>-0.17966176042885584</c:v>
                </c:pt>
                <c:pt idx="8">
                  <c:v>-0.15103454980529751</c:v>
                </c:pt>
                <c:pt idx="9">
                  <c:v>-0.12504880120468237</c:v>
                </c:pt>
                <c:pt idx="10">
                  <c:v>-0.10170451462701041</c:v>
                </c:pt>
                <c:pt idx="11">
                  <c:v>-8.1001690072281668E-2</c:v>
                </c:pt>
                <c:pt idx="12">
                  <c:v>-6.2940327540496249E-2</c:v>
                </c:pt>
                <c:pt idx="13">
                  <c:v>-4.7520427031653933E-2</c:v>
                </c:pt>
                <c:pt idx="14">
                  <c:v>-3.4741988545754832E-2</c:v>
                </c:pt>
                <c:pt idx="15">
                  <c:v>-2.4605012082798916E-2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48-4AE5-93A4-1A6B2AEF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967808"/>
        <c:axId val="1"/>
      </c:scatterChart>
      <c:valAx>
        <c:axId val="513967808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6694214876038"/>
              <c:y val="0.82903361273389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612909999153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967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24793388429751"/>
          <c:y val="0.91613038692744042"/>
          <c:w val="0.79008264462809918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25169039300551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5789499045119509"/>
          <c:w val="0.80463641206767067"/>
          <c:h val="0.601974651095181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(2)'!$H$21:$H$997</c:f>
              <c:numCache>
                <c:formatCode>General</c:formatCode>
                <c:ptCount val="977"/>
                <c:pt idx="0">
                  <c:v>-0.66849892285972601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B3-4DE9-9CBB-CEDD842F38AB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B3-4DE9-9CBB-CEDD842F38AB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B3-4DE9-9CBB-CEDD842F38AB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(2)'!$K$21:$K$997</c:f>
              <c:numCache>
                <c:formatCode>General</c:formatCode>
                <c:ptCount val="977"/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4">
                  <c:v>-4.5092449639923871E-2</c:v>
                </c:pt>
                <c:pt idx="5">
                  <c:v>-4.8525424106628634E-2</c:v>
                </c:pt>
                <c:pt idx="6">
                  <c:v>-6.9614061765605584E-2</c:v>
                </c:pt>
                <c:pt idx="7">
                  <c:v>-4.7325248204288073E-2</c:v>
                </c:pt>
                <c:pt idx="8">
                  <c:v>-4.7758222644915804E-2</c:v>
                </c:pt>
                <c:pt idx="9">
                  <c:v>-4.6147415509040002E-2</c:v>
                </c:pt>
                <c:pt idx="10">
                  <c:v>-5.118039004446473E-2</c:v>
                </c:pt>
                <c:pt idx="11">
                  <c:v>-4.5092449799994938E-2</c:v>
                </c:pt>
                <c:pt idx="12">
                  <c:v>-4.8525424092076719E-2</c:v>
                </c:pt>
                <c:pt idx="13">
                  <c:v>-4.7325248233391903E-2</c:v>
                </c:pt>
                <c:pt idx="14">
                  <c:v>-4.7758222528500482E-2</c:v>
                </c:pt>
                <c:pt idx="15">
                  <c:v>-5.0648492710024584E-2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B3-4DE9-9CBB-CEDD842F38AB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B3-4DE9-9CBB-CEDD842F38AB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B3-4DE9-9CBB-CEDD842F38AB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(2)'!$N$21:$N$997</c:f>
              <c:numCache>
                <c:formatCode>General</c:formatCode>
                <c:ptCount val="977"/>
                <c:pt idx="0">
                  <c:v>-0.66849892285972601</c:v>
                </c:pt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5">
                  <c:v>-4.8525424106628634E-2</c:v>
                </c:pt>
                <c:pt idx="6">
                  <c:v>-6.9614061765605584E-2</c:v>
                </c:pt>
                <c:pt idx="8">
                  <c:v>-4.7758222644915804E-2</c:v>
                </c:pt>
                <c:pt idx="13">
                  <c:v>-4.7325248233391903E-2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B3-4DE9-9CBB-CEDD842F38AB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(2)'!$O$21:$O$997</c:f>
              <c:numCache>
                <c:formatCode>General</c:formatCode>
                <c:ptCount val="977"/>
                <c:pt idx="0">
                  <c:v>-0.50389186723753732</c:v>
                </c:pt>
                <c:pt idx="1">
                  <c:v>-0.15142665522496968</c:v>
                </c:pt>
                <c:pt idx="2">
                  <c:v>-0.15139287729318052</c:v>
                </c:pt>
                <c:pt idx="3">
                  <c:v>-0.13963440392702914</c:v>
                </c:pt>
                <c:pt idx="4">
                  <c:v>-5.922416075122533E-2</c:v>
                </c:pt>
                <c:pt idx="5">
                  <c:v>-5.9220407647693207E-2</c:v>
                </c:pt>
                <c:pt idx="6">
                  <c:v>-5.7707906924246322E-2</c:v>
                </c:pt>
                <c:pt idx="7">
                  <c:v>-4.7371859796770777E-2</c:v>
                </c:pt>
                <c:pt idx="8">
                  <c:v>-4.7368106693238654E-2</c:v>
                </c:pt>
                <c:pt idx="9">
                  <c:v>-4.2725517623998566E-2</c:v>
                </c:pt>
                <c:pt idx="10">
                  <c:v>-4.2721764520466443E-2</c:v>
                </c:pt>
                <c:pt idx="11">
                  <c:v>-5.922416075122533E-2</c:v>
                </c:pt>
                <c:pt idx="12">
                  <c:v>-5.9220407647693207E-2</c:v>
                </c:pt>
                <c:pt idx="13">
                  <c:v>-4.7371859796770777E-2</c:v>
                </c:pt>
                <c:pt idx="14">
                  <c:v>-4.7368106693238654E-2</c:v>
                </c:pt>
                <c:pt idx="15">
                  <c:v>-4.2736776934594933E-2</c:v>
                </c:pt>
                <c:pt idx="16">
                  <c:v>-4.2725517623998566E-2</c:v>
                </c:pt>
                <c:pt idx="17">
                  <c:v>-4.2721764520466443E-2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B3-4DE9-9CBB-CEDD842F3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554056"/>
        <c:axId val="1"/>
      </c:scatterChart>
      <c:valAx>
        <c:axId val="681554056"/>
        <c:scaling>
          <c:orientation val="minMax"/>
          <c:max val="66000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78472475709"/>
              <c:y val="0.82894874982732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5855332228208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554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854322017694808"/>
          <c:y val="0.91447506561679781"/>
          <c:w val="0.91059672176739503"/>
          <c:h val="0.980264539301008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355371900826445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8429752066117"/>
          <c:y val="0.15737704918032788"/>
          <c:w val="0.81487603305785128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(2)'!$H$21:$H$997</c:f>
              <c:numCache>
                <c:formatCode>General</c:formatCode>
                <c:ptCount val="977"/>
                <c:pt idx="0">
                  <c:v>-0.66849892285972601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F0-4D91-8DD5-1F7349B5304B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F0-4D91-8DD5-1F7349B5304B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F0-4D91-8DD5-1F7349B5304B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(2)'!$K$21:$K$997</c:f>
              <c:numCache>
                <c:formatCode>General</c:formatCode>
                <c:ptCount val="977"/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4">
                  <c:v>-4.5092449639923871E-2</c:v>
                </c:pt>
                <c:pt idx="5">
                  <c:v>-4.8525424106628634E-2</c:v>
                </c:pt>
                <c:pt idx="6">
                  <c:v>-6.9614061765605584E-2</c:v>
                </c:pt>
                <c:pt idx="7">
                  <c:v>-4.7325248204288073E-2</c:v>
                </c:pt>
                <c:pt idx="8">
                  <c:v>-4.7758222644915804E-2</c:v>
                </c:pt>
                <c:pt idx="9">
                  <c:v>-4.6147415509040002E-2</c:v>
                </c:pt>
                <c:pt idx="10">
                  <c:v>-5.118039004446473E-2</c:v>
                </c:pt>
                <c:pt idx="11">
                  <c:v>-4.5092449799994938E-2</c:v>
                </c:pt>
                <c:pt idx="12">
                  <c:v>-4.8525424092076719E-2</c:v>
                </c:pt>
                <c:pt idx="13">
                  <c:v>-4.7325248233391903E-2</c:v>
                </c:pt>
                <c:pt idx="14">
                  <c:v>-4.7758222528500482E-2</c:v>
                </c:pt>
                <c:pt idx="15">
                  <c:v>-5.0648492710024584E-2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F0-4D91-8DD5-1F7349B5304B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F0-4D91-8DD5-1F7349B5304B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F0-4D91-8DD5-1F7349B5304B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(2)'!$N$21:$N$997</c:f>
              <c:numCache>
                <c:formatCode>General</c:formatCode>
                <c:ptCount val="977"/>
                <c:pt idx="0">
                  <c:v>-0.66849892285972601</c:v>
                </c:pt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5">
                  <c:v>-4.8525424106628634E-2</c:v>
                </c:pt>
                <c:pt idx="6">
                  <c:v>-6.9614061765605584E-2</c:v>
                </c:pt>
                <c:pt idx="8">
                  <c:v>-4.7758222644915804E-2</c:v>
                </c:pt>
                <c:pt idx="13">
                  <c:v>-4.7325248233391903E-2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F0-4D91-8DD5-1F7349B5304B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(2)'!$O$21:$O$997</c:f>
              <c:numCache>
                <c:formatCode>General</c:formatCode>
                <c:ptCount val="977"/>
                <c:pt idx="0">
                  <c:v>-0.50389186723753732</c:v>
                </c:pt>
                <c:pt idx="1">
                  <c:v>-0.15142665522496968</c:v>
                </c:pt>
                <c:pt idx="2">
                  <c:v>-0.15139287729318052</c:v>
                </c:pt>
                <c:pt idx="3">
                  <c:v>-0.13963440392702914</c:v>
                </c:pt>
                <c:pt idx="4">
                  <c:v>-5.922416075122533E-2</c:v>
                </c:pt>
                <c:pt idx="5">
                  <c:v>-5.9220407647693207E-2</c:v>
                </c:pt>
                <c:pt idx="6">
                  <c:v>-5.7707906924246322E-2</c:v>
                </c:pt>
                <c:pt idx="7">
                  <c:v>-4.7371859796770777E-2</c:v>
                </c:pt>
                <c:pt idx="8">
                  <c:v>-4.7368106693238654E-2</c:v>
                </c:pt>
                <c:pt idx="9">
                  <c:v>-4.2725517623998566E-2</c:v>
                </c:pt>
                <c:pt idx="10">
                  <c:v>-4.2721764520466443E-2</c:v>
                </c:pt>
                <c:pt idx="11">
                  <c:v>-5.922416075122533E-2</c:v>
                </c:pt>
                <c:pt idx="12">
                  <c:v>-5.9220407647693207E-2</c:v>
                </c:pt>
                <c:pt idx="13">
                  <c:v>-4.7371859796770777E-2</c:v>
                </c:pt>
                <c:pt idx="14">
                  <c:v>-4.7368106693238654E-2</c:v>
                </c:pt>
                <c:pt idx="15">
                  <c:v>-4.2736776934594933E-2</c:v>
                </c:pt>
                <c:pt idx="16">
                  <c:v>-4.2725517623998566E-2</c:v>
                </c:pt>
                <c:pt idx="17">
                  <c:v>-4.2721764520466443E-2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F0-4D91-8DD5-1F7349B5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765224"/>
        <c:axId val="1"/>
      </c:scatterChart>
      <c:valAx>
        <c:axId val="682765224"/>
        <c:scaling>
          <c:orientation val="minMax"/>
          <c:max val="6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082644628099"/>
              <c:y val="0.82950819672131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76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487603305785125"/>
          <c:y val="0.91475409836065569"/>
          <c:w val="0.90578512396694211"/>
          <c:h val="0.98032786885245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25169039300551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5789499045119509"/>
          <c:w val="0.81457019493270366"/>
          <c:h val="0.601974651095181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0">
                  <c:v>-0.44566594857315067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16-4A30-9D42-EDE6E1D305B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16-4A30-9D42-EDE6E1D305B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16-4A30-9D42-EDE6E1D305B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4">
                  <c:v>-4.5092449639923871E-2</c:v>
                </c:pt>
                <c:pt idx="5">
                  <c:v>-4.8525424106628634E-2</c:v>
                </c:pt>
                <c:pt idx="6">
                  <c:v>-6.9614061765605584E-2</c:v>
                </c:pt>
                <c:pt idx="7">
                  <c:v>-4.7325248204288073E-2</c:v>
                </c:pt>
                <c:pt idx="8">
                  <c:v>-4.7758222644915804E-2</c:v>
                </c:pt>
                <c:pt idx="9">
                  <c:v>-4.6147415509040002E-2</c:v>
                </c:pt>
                <c:pt idx="10">
                  <c:v>-5.118039004446473E-2</c:v>
                </c:pt>
                <c:pt idx="11">
                  <c:v>-4.5092449799994938E-2</c:v>
                </c:pt>
                <c:pt idx="12">
                  <c:v>-4.8525424092076719E-2</c:v>
                </c:pt>
                <c:pt idx="13">
                  <c:v>-4.7325248233391903E-2</c:v>
                </c:pt>
                <c:pt idx="14">
                  <c:v>-4.7758222528500482E-2</c:v>
                </c:pt>
                <c:pt idx="15">
                  <c:v>-5.0648492710024584E-2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16-4A30-9D42-EDE6E1D305B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16-4A30-9D42-EDE6E1D305B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16-4A30-9D42-EDE6E1D305B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16-4A30-9D42-EDE6E1D305B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-0.50389562034106949</c:v>
                </c:pt>
                <c:pt idx="1">
                  <c:v>-0.15142665522496968</c:v>
                </c:pt>
                <c:pt idx="2">
                  <c:v>-0.15139287729318052</c:v>
                </c:pt>
                <c:pt idx="3">
                  <c:v>-0.13963440392702914</c:v>
                </c:pt>
                <c:pt idx="4">
                  <c:v>-5.922416075122533E-2</c:v>
                </c:pt>
                <c:pt idx="5">
                  <c:v>-5.9220407647693207E-2</c:v>
                </c:pt>
                <c:pt idx="6">
                  <c:v>-5.7707906924246322E-2</c:v>
                </c:pt>
                <c:pt idx="7">
                  <c:v>-4.7371859796770777E-2</c:v>
                </c:pt>
                <c:pt idx="8">
                  <c:v>-4.7368106693238654E-2</c:v>
                </c:pt>
                <c:pt idx="9">
                  <c:v>-4.2725517623998566E-2</c:v>
                </c:pt>
                <c:pt idx="10">
                  <c:v>-4.2721764520466443E-2</c:v>
                </c:pt>
                <c:pt idx="11">
                  <c:v>-5.922416075122533E-2</c:v>
                </c:pt>
                <c:pt idx="12">
                  <c:v>-5.9220407647693207E-2</c:v>
                </c:pt>
                <c:pt idx="13">
                  <c:v>-4.7371859796770777E-2</c:v>
                </c:pt>
                <c:pt idx="14">
                  <c:v>-4.7368106693238654E-2</c:v>
                </c:pt>
                <c:pt idx="15">
                  <c:v>-4.2736776934594933E-2</c:v>
                </c:pt>
                <c:pt idx="16">
                  <c:v>-4.2725517623998566E-2</c:v>
                </c:pt>
                <c:pt idx="17">
                  <c:v>-4.2721764520466443E-2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16-4A30-9D42-EDE6E1D3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185504"/>
        <c:axId val="1"/>
      </c:scatterChart>
      <c:valAx>
        <c:axId val="717185504"/>
        <c:scaling>
          <c:orientation val="minMax"/>
          <c:max val="6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2894874982732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5855332228208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185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357633275972954"/>
          <c:y val="0.91447506561679781"/>
          <c:w val="0.90562983435017652"/>
          <c:h val="0.980264539301008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355371900826445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5737704918032788"/>
          <c:w val="0.80495867768595042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0">
                  <c:v>-0.44566594857315067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5C-41D6-9262-7EA0690D641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5C-41D6-9262-7EA0690D641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5C-41D6-9262-7EA0690D641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4">
                  <c:v>-4.5092449639923871E-2</c:v>
                </c:pt>
                <c:pt idx="5">
                  <c:v>-4.8525424106628634E-2</c:v>
                </c:pt>
                <c:pt idx="6">
                  <c:v>-6.9614061765605584E-2</c:v>
                </c:pt>
                <c:pt idx="7">
                  <c:v>-4.7325248204288073E-2</c:v>
                </c:pt>
                <c:pt idx="8">
                  <c:v>-4.7758222644915804E-2</c:v>
                </c:pt>
                <c:pt idx="9">
                  <c:v>-4.6147415509040002E-2</c:v>
                </c:pt>
                <c:pt idx="10">
                  <c:v>-5.118039004446473E-2</c:v>
                </c:pt>
                <c:pt idx="11">
                  <c:v>-4.5092449799994938E-2</c:v>
                </c:pt>
                <c:pt idx="12">
                  <c:v>-4.8525424092076719E-2</c:v>
                </c:pt>
                <c:pt idx="13">
                  <c:v>-4.7325248233391903E-2</c:v>
                </c:pt>
                <c:pt idx="14">
                  <c:v>-4.7758222528500482E-2</c:v>
                </c:pt>
                <c:pt idx="15">
                  <c:v>-5.0648492710024584E-2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5C-41D6-9262-7EA0690D641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5C-41D6-9262-7EA0690D641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5C-41D6-9262-7EA0690D641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5C-41D6-9262-7EA0690D641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-0.50389562034106949</c:v>
                </c:pt>
                <c:pt idx="1">
                  <c:v>-0.15142665522496968</c:v>
                </c:pt>
                <c:pt idx="2">
                  <c:v>-0.15139287729318052</c:v>
                </c:pt>
                <c:pt idx="3">
                  <c:v>-0.13963440392702914</c:v>
                </c:pt>
                <c:pt idx="4">
                  <c:v>-5.922416075122533E-2</c:v>
                </c:pt>
                <c:pt idx="5">
                  <c:v>-5.9220407647693207E-2</c:v>
                </c:pt>
                <c:pt idx="6">
                  <c:v>-5.7707906924246322E-2</c:v>
                </c:pt>
                <c:pt idx="7">
                  <c:v>-4.7371859796770777E-2</c:v>
                </c:pt>
                <c:pt idx="8">
                  <c:v>-4.7368106693238654E-2</c:v>
                </c:pt>
                <c:pt idx="9">
                  <c:v>-4.2725517623998566E-2</c:v>
                </c:pt>
                <c:pt idx="10">
                  <c:v>-4.2721764520466443E-2</c:v>
                </c:pt>
                <c:pt idx="11">
                  <c:v>-5.922416075122533E-2</c:v>
                </c:pt>
                <c:pt idx="12">
                  <c:v>-5.9220407647693207E-2</c:v>
                </c:pt>
                <c:pt idx="13">
                  <c:v>-4.7371859796770777E-2</c:v>
                </c:pt>
                <c:pt idx="14">
                  <c:v>-4.7368106693238654E-2</c:v>
                </c:pt>
                <c:pt idx="15">
                  <c:v>-4.2736776934594933E-2</c:v>
                </c:pt>
                <c:pt idx="16">
                  <c:v>-4.2725517623998566E-2</c:v>
                </c:pt>
                <c:pt idx="17">
                  <c:v>-4.2721764520466443E-2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5C-41D6-9262-7EA0690D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697968"/>
        <c:axId val="1"/>
      </c:scatterChart>
      <c:valAx>
        <c:axId val="514697968"/>
        <c:scaling>
          <c:orientation val="minMax"/>
          <c:max val="66000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6694214876038"/>
              <c:y val="0.82950819672131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69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983471074380165"/>
          <c:y val="0.91475409836065569"/>
          <c:w val="0.91074380165289259"/>
          <c:h val="0.98032786885245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95250</xdr:rowOff>
    </xdr:from>
    <xdr:to>
      <xdr:col>16</xdr:col>
      <xdr:colOff>542925</xdr:colOff>
      <xdr:row>17</xdr:row>
      <xdr:rowOff>95250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32A1239E-9DDB-D1B7-1068-6727EF74C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104775</xdr:rowOff>
    </xdr:from>
    <xdr:to>
      <xdr:col>25</xdr:col>
      <xdr:colOff>542925</xdr:colOff>
      <xdr:row>17</xdr:row>
      <xdr:rowOff>133350</xdr:rowOff>
    </xdr:to>
    <xdr:graphicFrame macro="">
      <xdr:nvGraphicFramePr>
        <xdr:cNvPr id="54278" name="Chart 2">
          <a:extLst>
            <a:ext uri="{FF2B5EF4-FFF2-40B4-BE49-F238E27FC236}">
              <a16:creationId xmlns:a16="http://schemas.microsoft.com/office/drawing/2014/main" id="{7B5EDB07-1920-2296-2478-1F45B563D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123825</xdr:rowOff>
    </xdr:from>
    <xdr:to>
      <xdr:col>16</xdr:col>
      <xdr:colOff>666750</xdr:colOff>
      <xdr:row>19</xdr:row>
      <xdr:rowOff>9525</xdr:rowOff>
    </xdr:to>
    <xdr:graphicFrame macro="">
      <xdr:nvGraphicFramePr>
        <xdr:cNvPr id="58373" name="Chart 1">
          <a:extLst>
            <a:ext uri="{FF2B5EF4-FFF2-40B4-BE49-F238E27FC236}">
              <a16:creationId xmlns:a16="http://schemas.microsoft.com/office/drawing/2014/main" id="{974AFC15-1532-2614-5B36-D18F70E54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0</xdr:row>
      <xdr:rowOff>133349</xdr:rowOff>
    </xdr:from>
    <xdr:to>
      <xdr:col>26</xdr:col>
      <xdr:colOff>133350</xdr:colOff>
      <xdr:row>18</xdr:row>
      <xdr:rowOff>161924</xdr:rowOff>
    </xdr:to>
    <xdr:graphicFrame macro="">
      <xdr:nvGraphicFramePr>
        <xdr:cNvPr id="58374" name="Chart 2">
          <a:extLst>
            <a:ext uri="{FF2B5EF4-FFF2-40B4-BE49-F238E27FC236}">
              <a16:creationId xmlns:a16="http://schemas.microsoft.com/office/drawing/2014/main" id="{94D47E3A-A0D2-97D2-B489-180144741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95250</xdr:colOff>
      <xdr:row>17</xdr:row>
      <xdr:rowOff>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65AE6F56-93AE-C47D-A6DA-F74164B41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304800</xdr:colOff>
      <xdr:row>17</xdr:row>
      <xdr:rowOff>9525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B0E02883-B43F-80C4-2D75-C0ACF36D3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95250</xdr:colOff>
      <xdr:row>17</xdr:row>
      <xdr:rowOff>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7934BE44-2199-9CDD-5737-D3AD41C8A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276225</xdr:colOff>
      <xdr:row>17</xdr:row>
      <xdr:rowOff>9525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5A9B7E26-ACD6-048E-ADC9-3CF07AA6D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60"/>
  <sheetViews>
    <sheetView tabSelected="1" workbookViewId="0">
      <pane xSplit="13" ySplit="21" topLeftCell="N41" activePane="bottomRight" state="frozen"/>
      <selection pane="topRight" activeCell="N1" sqref="N1"/>
      <selection pane="bottomLeft" activeCell="A22" sqref="A22"/>
      <selection pane="bottomRight" activeCell="E7" sqref="E7:F9"/>
    </sheetView>
  </sheetViews>
  <sheetFormatPr defaultColWidth="10.28515625" defaultRowHeight="12.75" x14ac:dyDescent="0.2"/>
  <cols>
    <col min="1" max="1" width="14.85546875" customWidth="1"/>
    <col min="2" max="2" width="5.140625" customWidth="1"/>
    <col min="3" max="3" width="13.42578125" customWidth="1"/>
    <col min="4" max="4" width="9.42578125" customWidth="1"/>
    <col min="5" max="5" width="12.285156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31</v>
      </c>
      <c r="V1" s="4" t="s">
        <v>13</v>
      </c>
      <c r="W1" s="6" t="s">
        <v>25</v>
      </c>
    </row>
    <row r="2" spans="1:23" x14ac:dyDescent="0.2">
      <c r="A2" t="s">
        <v>27</v>
      </c>
      <c r="B2" t="s">
        <v>32</v>
      </c>
      <c r="C2" s="3"/>
      <c r="D2" s="37" t="s">
        <v>50</v>
      </c>
      <c r="V2" s="59">
        <v>0</v>
      </c>
      <c r="W2" s="59">
        <f t="shared" ref="W2:W17" si="0">+D$11+D$12*V2+D$13*V2^2</f>
        <v>-1.3381186705562511</v>
      </c>
    </row>
    <row r="3" spans="1:23" ht="13.5" thickBot="1" x14ac:dyDescent="0.25">
      <c r="A3" s="61" t="s">
        <v>71</v>
      </c>
      <c r="V3" s="59">
        <v>5000</v>
      </c>
      <c r="W3" s="59">
        <f t="shared" si="0"/>
        <v>-1.1492317291407672</v>
      </c>
    </row>
    <row r="4" spans="1:23" ht="14.25" thickTop="1" thickBot="1" x14ac:dyDescent="0.25">
      <c r="A4" s="5" t="s">
        <v>3</v>
      </c>
      <c r="C4" s="8">
        <v>24161.971099999999</v>
      </c>
      <c r="D4" s="9">
        <v>0.44570100000000001</v>
      </c>
      <c r="V4" s="59">
        <v>10000</v>
      </c>
      <c r="W4" s="59">
        <f t="shared" si="0"/>
        <v>-0.97523525055398474</v>
      </c>
    </row>
    <row r="5" spans="1:23" ht="13.5" thickTop="1" x14ac:dyDescent="0.2">
      <c r="A5" s="13" t="s">
        <v>36</v>
      </c>
      <c r="B5" s="14"/>
      <c r="C5" s="15">
        <v>-9.5</v>
      </c>
      <c r="D5" s="14" t="s">
        <v>37</v>
      </c>
      <c r="E5" s="14"/>
      <c r="V5" s="59">
        <v>15000</v>
      </c>
      <c r="W5" s="59">
        <f t="shared" si="0"/>
        <v>-0.81612923479590305</v>
      </c>
    </row>
    <row r="6" spans="1:23" x14ac:dyDescent="0.2">
      <c r="A6" s="5" t="s">
        <v>4</v>
      </c>
      <c r="V6" s="59">
        <v>20000</v>
      </c>
      <c r="W6" s="59">
        <f t="shared" si="0"/>
        <v>-0.67191368186652256</v>
      </c>
    </row>
    <row r="7" spans="1:23" x14ac:dyDescent="0.2">
      <c r="A7" t="s">
        <v>5</v>
      </c>
      <c r="C7">
        <v>24161.971099999999</v>
      </c>
      <c r="E7" s="83"/>
      <c r="F7" s="84"/>
      <c r="V7" s="59">
        <v>25000</v>
      </c>
      <c r="W7" s="59">
        <f t="shared" si="0"/>
        <v>-0.54258859176584318</v>
      </c>
    </row>
    <row r="8" spans="1:23" x14ac:dyDescent="0.2">
      <c r="A8" t="s">
        <v>6</v>
      </c>
      <c r="C8">
        <v>0.44566594857405373</v>
      </c>
      <c r="E8" s="83"/>
      <c r="F8" s="84"/>
      <c r="V8" s="59">
        <v>30000</v>
      </c>
      <c r="W8" s="59">
        <f t="shared" si="0"/>
        <v>-0.42815396449386472</v>
      </c>
    </row>
    <row r="9" spans="1:23" x14ac:dyDescent="0.2">
      <c r="A9" s="29" t="s">
        <v>43</v>
      </c>
      <c r="B9" s="30">
        <v>33</v>
      </c>
      <c r="C9" s="17" t="str">
        <f>"F"&amp;B9</f>
        <v>F33</v>
      </c>
      <c r="D9" s="18" t="str">
        <f>"G"&amp;B9</f>
        <v>G33</v>
      </c>
      <c r="E9" s="83"/>
      <c r="F9" s="83"/>
      <c r="V9" s="59">
        <v>35000</v>
      </c>
      <c r="W9" s="59">
        <f t="shared" si="0"/>
        <v>-0.32860980005058738</v>
      </c>
    </row>
    <row r="10" spans="1:23" ht="13.5" thickBot="1" x14ac:dyDescent="0.25">
      <c r="A10" s="14"/>
      <c r="B10" s="14"/>
      <c r="C10" s="4" t="s">
        <v>23</v>
      </c>
      <c r="D10" s="4" t="s">
        <v>24</v>
      </c>
      <c r="E10" s="14"/>
      <c r="V10" s="59">
        <v>40000</v>
      </c>
      <c r="W10" s="59">
        <f t="shared" si="0"/>
        <v>-0.24395609843601135</v>
      </c>
    </row>
    <row r="11" spans="1:23" x14ac:dyDescent="0.2">
      <c r="A11" s="14" t="s">
        <v>19</v>
      </c>
      <c r="B11" s="14"/>
      <c r="C11" s="16">
        <f ca="1">INTERCEPT(INDIRECT($D$9):G986,INDIRECT($C$9):F986)</f>
        <v>6.5684815390047127E-2</v>
      </c>
      <c r="D11" s="3">
        <f>+E11*F11</f>
        <v>-1.3381186705562511</v>
      </c>
      <c r="E11" s="47">
        <v>-1.3381186705562511</v>
      </c>
      <c r="F11">
        <v>1</v>
      </c>
      <c r="V11" s="59">
        <v>45000</v>
      </c>
      <c r="W11" s="59">
        <f t="shared" si="0"/>
        <v>-0.17419285965013609</v>
      </c>
    </row>
    <row r="12" spans="1:23" x14ac:dyDescent="0.2">
      <c r="A12" s="14" t="s">
        <v>20</v>
      </c>
      <c r="B12" s="14"/>
      <c r="C12" s="16">
        <f ca="1">SLOPE(INDIRECT($D$9):G986,INDIRECT($C$9):F986)</f>
        <v>-1.863584673210291E-6</v>
      </c>
      <c r="D12" s="3">
        <f>+E12*F12</f>
        <v>3.9266434565966863E-5</v>
      </c>
      <c r="E12" s="48">
        <v>0.39266434565966862</v>
      </c>
      <c r="F12" s="49">
        <v>1E-4</v>
      </c>
      <c r="V12" s="59">
        <v>50000</v>
      </c>
      <c r="W12" s="59">
        <f t="shared" si="0"/>
        <v>-0.11932008369296232</v>
      </c>
    </row>
    <row r="13" spans="1:23" ht="13.5" thickBot="1" x14ac:dyDescent="0.25">
      <c r="A13" s="14" t="s">
        <v>22</v>
      </c>
      <c r="B13" s="14"/>
      <c r="C13" s="3" t="s">
        <v>17</v>
      </c>
      <c r="D13" s="3">
        <f>+E13*F13</f>
        <v>-2.9780925657402169E-10</v>
      </c>
      <c r="E13" s="50">
        <v>-2.9780925657402167E-2</v>
      </c>
      <c r="F13" s="49">
        <v>1E-8</v>
      </c>
      <c r="V13" s="59">
        <v>55000</v>
      </c>
      <c r="W13" s="59">
        <f t="shared" si="0"/>
        <v>-7.9337770564489318E-2</v>
      </c>
    </row>
    <row r="14" spans="1:23" x14ac:dyDescent="0.2">
      <c r="A14" s="14"/>
      <c r="B14" s="14"/>
      <c r="C14" s="14"/>
      <c r="E14">
        <f>SUM(T21:T944)</f>
        <v>5.7048893809415517E-2</v>
      </c>
      <c r="V14" s="59">
        <v>60000</v>
      </c>
      <c r="W14" s="59">
        <f t="shared" si="0"/>
        <v>-5.4245920264717418E-2</v>
      </c>
    </row>
    <row r="15" spans="1:23" x14ac:dyDescent="0.2">
      <c r="A15" s="19" t="s">
        <v>21</v>
      </c>
      <c r="B15" s="14"/>
      <c r="C15" s="20">
        <f ca="1">(C7+C11)+(C8+C12)*INT(MAX(F21:F3527))</f>
        <v>60113.758520908712</v>
      </c>
      <c r="D15" s="18">
        <f>+C7+INT(MAX(F21:F1582))*C8+D11+D12*INT(MAX(F21:F4017))+D13*INT(MAX(F21:F4044)^2)</f>
        <v>60113.734613969558</v>
      </c>
      <c r="E15" s="21" t="s">
        <v>48</v>
      </c>
      <c r="F15" s="15">
        <v>1</v>
      </c>
      <c r="V15" s="59">
        <v>65000</v>
      </c>
      <c r="W15" s="59">
        <f t="shared" si="0"/>
        <v>-4.4044532793646507E-2</v>
      </c>
    </row>
    <row r="16" spans="1:23" x14ac:dyDescent="0.2">
      <c r="A16" s="23" t="s">
        <v>7</v>
      </c>
      <c r="B16" s="14"/>
      <c r="C16" s="24">
        <f ca="1">+C8+C12</f>
        <v>0.44566408498938054</v>
      </c>
      <c r="D16" s="18">
        <f>+C8+D12+2*D13*MAX(F21:F890)</f>
        <v>0.44565716616535478</v>
      </c>
      <c r="E16" s="21" t="s">
        <v>38</v>
      </c>
      <c r="F16" s="22">
        <f ca="1">NOW()+15018.5+$C$5/24</f>
        <v>60325.782836574072</v>
      </c>
      <c r="V16" s="59">
        <v>70000</v>
      </c>
      <c r="W16" s="59">
        <f t="shared" si="0"/>
        <v>-4.8733608151276808E-2</v>
      </c>
    </row>
    <row r="17" spans="1:23" ht="13.5" thickBot="1" x14ac:dyDescent="0.25">
      <c r="A17" s="21" t="s">
        <v>40</v>
      </c>
      <c r="B17" s="14"/>
      <c r="C17" s="14">
        <f>COUNT(C21:C2185)</f>
        <v>40</v>
      </c>
      <c r="E17" s="21" t="s">
        <v>49</v>
      </c>
      <c r="F17" s="22">
        <f ca="1">ROUND(2*(F16-$C$7)/$C$8,0)/2+F15</f>
        <v>81146.5</v>
      </c>
      <c r="V17" s="59">
        <v>75000</v>
      </c>
      <c r="W17" s="59">
        <f t="shared" si="0"/>
        <v>-6.8313146337608543E-2</v>
      </c>
    </row>
    <row r="18" spans="1:23" ht="14.25" thickTop="1" thickBot="1" x14ac:dyDescent="0.25">
      <c r="A18" s="5" t="s">
        <v>65</v>
      </c>
      <c r="C18" s="51">
        <f ca="1">+C15</f>
        <v>60113.758520908712</v>
      </c>
      <c r="D18" s="52">
        <f ca="1">C16</f>
        <v>0.44566408498938054</v>
      </c>
      <c r="E18" s="21" t="s">
        <v>39</v>
      </c>
      <c r="F18" s="18">
        <f ca="1">ROUND(2*(F16-$C$15)/$C$16,0)/2+F15</f>
        <v>476.5</v>
      </c>
    </row>
    <row r="19" spans="1:23" ht="13.5" thickBot="1" x14ac:dyDescent="0.25">
      <c r="A19" s="5" t="s">
        <v>66</v>
      </c>
      <c r="C19" s="53">
        <f>+D15</f>
        <v>60113.734613969558</v>
      </c>
      <c r="D19" s="54">
        <f>+D16</f>
        <v>0.44565716616535478</v>
      </c>
      <c r="E19" s="21" t="s">
        <v>41</v>
      </c>
      <c r="F19" s="25">
        <f ca="1">+$C$15+$C$16*F18-15018.5-$C$5/24</f>
        <v>45308.013290739487</v>
      </c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63</v>
      </c>
      <c r="J20" s="7" t="s">
        <v>62</v>
      </c>
      <c r="K20" s="7" t="s">
        <v>46</v>
      </c>
      <c r="L20" s="7" t="s">
        <v>79</v>
      </c>
      <c r="M20" s="7" t="s">
        <v>29</v>
      </c>
      <c r="N20" s="7" t="s">
        <v>30</v>
      </c>
      <c r="O20" s="7" t="s">
        <v>26</v>
      </c>
      <c r="P20" s="55" t="s">
        <v>25</v>
      </c>
      <c r="Q20" s="4" t="s">
        <v>18</v>
      </c>
      <c r="R20" s="7" t="s">
        <v>67</v>
      </c>
      <c r="S20" s="6" t="s">
        <v>68</v>
      </c>
      <c r="T20" s="7" t="s">
        <v>69</v>
      </c>
      <c r="U20" s="56" t="s">
        <v>70</v>
      </c>
    </row>
    <row r="21" spans="1:23" x14ac:dyDescent="0.2">
      <c r="A21" t="s">
        <v>15</v>
      </c>
      <c r="B21" s="3"/>
      <c r="C21" s="12">
        <f>+C4</f>
        <v>24161.971099999999</v>
      </c>
      <c r="D21" s="12" t="s">
        <v>17</v>
      </c>
      <c r="E21">
        <v>1</v>
      </c>
      <c r="F21" s="68">
        <f>ROUND(2*E21,0)/2+2</f>
        <v>3</v>
      </c>
      <c r="G21">
        <f t="shared" ref="G21:G60" si="1">+C21-(C$7+F21*C$8)</f>
        <v>-1.33699784572309</v>
      </c>
      <c r="H21">
        <f>G21</f>
        <v>-1.33699784572309</v>
      </c>
      <c r="P21" s="57">
        <f t="shared" ref="P21:P60" si="2">+D$11+D$12*F21+D$13*F21^2</f>
        <v>-1.3380008739328366</v>
      </c>
      <c r="Q21" s="58">
        <f t="shared" ref="Q21:Q60" si="3">+C21-15018.5</f>
        <v>9143.4710999999988</v>
      </c>
      <c r="R21" s="59">
        <f t="shared" ref="R21:R60" si="4">+(P21-G21)^2</f>
        <v>1.0060655895475212E-6</v>
      </c>
      <c r="S21" s="59">
        <v>1</v>
      </c>
      <c r="T21" s="59">
        <f t="shared" ref="T21:T60" si="5">+S21*R21</f>
        <v>1.0060655895475212E-6</v>
      </c>
      <c r="U21" s="60"/>
    </row>
    <row r="22" spans="1:23" x14ac:dyDescent="0.2">
      <c r="A22" s="66" t="s">
        <v>0</v>
      </c>
      <c r="B22" s="67" t="s">
        <v>34</v>
      </c>
      <c r="C22" s="66">
        <v>42207.925000000003</v>
      </c>
      <c r="D22" s="66">
        <v>2E-3</v>
      </c>
      <c r="E22">
        <f t="shared" ref="E22:E60" si="6">+(C22-C$7)/C$8</f>
        <v>40492.108400337907</v>
      </c>
      <c r="F22" s="31">
        <f>ROUND(2*E22,0)/2+0.5</f>
        <v>40492.5</v>
      </c>
      <c r="G22">
        <f t="shared" si="1"/>
        <v>-0.17452263486484298</v>
      </c>
      <c r="K22">
        <f t="shared" ref="K22:K60" si="7">+G22</f>
        <v>-0.17452263486484298</v>
      </c>
      <c r="P22" s="57">
        <f t="shared" si="2"/>
        <v>-0.23642329961777903</v>
      </c>
      <c r="Q22" s="2">
        <f t="shared" si="3"/>
        <v>27189.425000000003</v>
      </c>
      <c r="R22" s="59">
        <f t="shared" si="4"/>
        <v>3.8316922968553782E-3</v>
      </c>
      <c r="S22" s="59">
        <v>1</v>
      </c>
      <c r="T22" s="59">
        <f t="shared" si="5"/>
        <v>3.8316922968553782E-3</v>
      </c>
    </row>
    <row r="23" spans="1:23" x14ac:dyDescent="0.2">
      <c r="A23" s="38" t="s">
        <v>47</v>
      </c>
      <c r="B23" s="39" t="s">
        <v>35</v>
      </c>
      <c r="C23" s="40">
        <v>45089.3963</v>
      </c>
      <c r="D23" s="12" t="s">
        <v>45</v>
      </c>
      <c r="E23">
        <f t="shared" si="6"/>
        <v>46957.649035020702</v>
      </c>
      <c r="F23" s="31">
        <f>ROUND(2*E23,0)/2+0.5</f>
        <v>46958</v>
      </c>
      <c r="G23">
        <f t="shared" si="1"/>
        <v>-0.15641314040840371</v>
      </c>
      <c r="K23">
        <f t="shared" si="7"/>
        <v>-0.15641314040840371</v>
      </c>
      <c r="P23" s="57">
        <f t="shared" si="2"/>
        <v>-0.15093085837016751</v>
      </c>
      <c r="Q23" s="2">
        <f t="shared" si="3"/>
        <v>30070.8963</v>
      </c>
      <c r="R23" s="59">
        <f t="shared" si="4"/>
        <v>3.0055416346767229E-5</v>
      </c>
      <c r="S23" s="59">
        <v>1</v>
      </c>
      <c r="T23" s="59">
        <f t="shared" si="5"/>
        <v>3.0055416346767229E-5</v>
      </c>
    </row>
    <row r="24" spans="1:23" x14ac:dyDescent="0.2">
      <c r="A24" s="38" t="s">
        <v>47</v>
      </c>
      <c r="B24" s="39" t="s">
        <v>34</v>
      </c>
      <c r="C24" s="40">
        <v>45091.402000000002</v>
      </c>
      <c r="D24" s="12" t="s">
        <v>45</v>
      </c>
      <c r="E24">
        <f t="shared" si="6"/>
        <v>46962.149491038086</v>
      </c>
      <c r="F24" s="31">
        <f>ROUND(2*E24,0)/2+0.5</f>
        <v>46962.5</v>
      </c>
      <c r="G24">
        <f t="shared" si="1"/>
        <v>-0.15620990899333265</v>
      </c>
      <c r="K24">
        <f t="shared" si="7"/>
        <v>-0.15620990899333265</v>
      </c>
      <c r="P24" s="57">
        <f t="shared" si="2"/>
        <v>-0.15088002618888985</v>
      </c>
      <c r="Q24" s="2">
        <f t="shared" si="3"/>
        <v>30072.902000000002</v>
      </c>
      <c r="R24" s="59">
        <f t="shared" si="4"/>
        <v>2.8407650709095027E-5</v>
      </c>
      <c r="S24" s="59">
        <v>1</v>
      </c>
      <c r="T24" s="59">
        <f t="shared" si="5"/>
        <v>2.8407650709095027E-5</v>
      </c>
    </row>
    <row r="25" spans="1:23" x14ac:dyDescent="0.2">
      <c r="A25" s="38" t="s">
        <v>47</v>
      </c>
      <c r="B25" s="39" t="s">
        <v>35</v>
      </c>
      <c r="C25" s="40">
        <v>45789.558700000001</v>
      </c>
      <c r="D25" s="12" t="s">
        <v>45</v>
      </c>
      <c r="E25">
        <f t="shared" si="6"/>
        <v>48528.696592592089</v>
      </c>
      <c r="F25">
        <f t="shared" ref="F25:F60" si="8">ROUND(2*E25,0)/2</f>
        <v>48528.5</v>
      </c>
      <c r="G25">
        <f t="shared" si="1"/>
        <v>8.7614624040725175E-2</v>
      </c>
      <c r="K25">
        <f t="shared" si="7"/>
        <v>8.7614624040725175E-2</v>
      </c>
      <c r="P25" s="57">
        <f t="shared" si="2"/>
        <v>-0.13392286008333831</v>
      </c>
      <c r="Q25" s="2">
        <f t="shared" si="3"/>
        <v>30771.058700000001</v>
      </c>
      <c r="R25" s="59">
        <f t="shared" si="4"/>
        <v>4.9078856872019683E-2</v>
      </c>
      <c r="S25" s="59">
        <v>1</v>
      </c>
      <c r="T25" s="59">
        <f t="shared" si="5"/>
        <v>4.9078856872019683E-2</v>
      </c>
    </row>
    <row r="26" spans="1:23" x14ac:dyDescent="0.2">
      <c r="A26" t="s">
        <v>56</v>
      </c>
      <c r="B26" s="3" t="s">
        <v>34</v>
      </c>
      <c r="C26" s="12">
        <v>50563.845300000001</v>
      </c>
      <c r="D26" s="12" t="s">
        <v>62</v>
      </c>
      <c r="E26">
        <f t="shared" si="6"/>
        <v>59241.398820069277</v>
      </c>
      <c r="F26">
        <f t="shared" si="8"/>
        <v>59241.5</v>
      </c>
      <c r="G26">
        <f t="shared" si="1"/>
        <v>-4.5092449799994938E-2</v>
      </c>
      <c r="K26">
        <f t="shared" si="7"/>
        <v>-4.5092449799994938E-2</v>
      </c>
      <c r="P26" s="57">
        <f t="shared" si="2"/>
        <v>-5.7094248641198719E-2</v>
      </c>
      <c r="Q26" s="2">
        <f t="shared" si="3"/>
        <v>35545.345300000001</v>
      </c>
      <c r="R26" s="59">
        <f t="shared" si="4"/>
        <v>1.4404317542472043E-4</v>
      </c>
      <c r="S26" s="59">
        <v>1</v>
      </c>
      <c r="T26" s="59">
        <f t="shared" si="5"/>
        <v>1.4404317542472043E-4</v>
      </c>
    </row>
    <row r="27" spans="1:23" x14ac:dyDescent="0.2">
      <c r="A27" s="32" t="s">
        <v>33</v>
      </c>
      <c r="B27" s="34" t="s">
        <v>34</v>
      </c>
      <c r="C27" s="32">
        <v>50563.845300000161</v>
      </c>
      <c r="D27" s="10">
        <v>8.9999999999999998E-4</v>
      </c>
      <c r="E27">
        <f t="shared" si="6"/>
        <v>59241.39882006964</v>
      </c>
      <c r="F27">
        <f t="shared" si="8"/>
        <v>59241.5</v>
      </c>
      <c r="G27">
        <f t="shared" si="1"/>
        <v>-4.5092449639923871E-2</v>
      </c>
      <c r="K27">
        <f t="shared" si="7"/>
        <v>-4.5092449639923871E-2</v>
      </c>
      <c r="O27">
        <f t="shared" ref="O27:O60" ca="1" si="9">+C$11+C$12*$F27</f>
        <v>-4.4716736027940324E-2</v>
      </c>
      <c r="P27" s="57">
        <f t="shared" si="2"/>
        <v>-5.7094248641198719E-2</v>
      </c>
      <c r="Q27" s="2">
        <f t="shared" si="3"/>
        <v>35545.345300000161</v>
      </c>
      <c r="R27" s="59">
        <f t="shared" si="4"/>
        <v>1.4404317926700196E-4</v>
      </c>
      <c r="S27" s="59">
        <v>1</v>
      </c>
      <c r="T27" s="59">
        <f t="shared" si="5"/>
        <v>1.4404317926700196E-4</v>
      </c>
    </row>
    <row r="28" spans="1:23" x14ac:dyDescent="0.2">
      <c r="A28" s="32" t="s">
        <v>33</v>
      </c>
      <c r="B28" s="34" t="s">
        <v>35</v>
      </c>
      <c r="C28" s="32">
        <v>50564.064699999988</v>
      </c>
      <c r="D28" s="10">
        <v>1E-3</v>
      </c>
      <c r="E28">
        <f t="shared" si="6"/>
        <v>59241.89111704797</v>
      </c>
      <c r="F28">
        <f t="shared" si="8"/>
        <v>59242</v>
      </c>
      <c r="G28">
        <f t="shared" si="1"/>
        <v>-4.8525424106628634E-2</v>
      </c>
      <c r="K28">
        <f t="shared" si="7"/>
        <v>-4.8525424106628634E-2</v>
      </c>
      <c r="O28">
        <f t="shared" ca="1" si="9"/>
        <v>-4.4717667820276932E-2</v>
      </c>
      <c r="P28" s="57">
        <f t="shared" si="2"/>
        <v>-5.709225816544139E-2</v>
      </c>
      <c r="Q28" s="2">
        <f t="shared" si="3"/>
        <v>35545.564699999988</v>
      </c>
      <c r="R28" s="59">
        <f t="shared" si="4"/>
        <v>7.3390645791234237E-5</v>
      </c>
      <c r="S28" s="59">
        <v>1</v>
      </c>
      <c r="T28" s="59">
        <f t="shared" si="5"/>
        <v>7.3390645791234237E-5</v>
      </c>
    </row>
    <row r="29" spans="1:23" x14ac:dyDescent="0.2">
      <c r="A29" s="69" t="s">
        <v>56</v>
      </c>
      <c r="B29" s="35" t="s">
        <v>35</v>
      </c>
      <c r="C29" s="36">
        <v>50564.064700000003</v>
      </c>
      <c r="D29" s="12" t="s">
        <v>62</v>
      </c>
      <c r="E29">
        <f t="shared" si="6"/>
        <v>59241.891117047999</v>
      </c>
      <c r="F29">
        <f t="shared" si="8"/>
        <v>59242</v>
      </c>
      <c r="G29">
        <f t="shared" si="1"/>
        <v>-4.8525424092076719E-2</v>
      </c>
      <c r="K29">
        <f t="shared" si="7"/>
        <v>-4.8525424092076719E-2</v>
      </c>
      <c r="O29">
        <f t="shared" ca="1" si="9"/>
        <v>-4.4717667820276932E-2</v>
      </c>
      <c r="P29" s="57">
        <f t="shared" si="2"/>
        <v>-5.709225816544139E-2</v>
      </c>
      <c r="Q29" s="2">
        <f t="shared" si="3"/>
        <v>35545.564700000003</v>
      </c>
      <c r="R29" s="59">
        <f t="shared" si="4"/>
        <v>7.3390646040561922E-5</v>
      </c>
      <c r="S29" s="59">
        <v>1</v>
      </c>
      <c r="T29" s="59">
        <f t="shared" si="5"/>
        <v>7.3390646040561922E-5</v>
      </c>
    </row>
    <row r="30" spans="1:23" x14ac:dyDescent="0.2">
      <c r="A30" s="33" t="s">
        <v>44</v>
      </c>
      <c r="B30" s="35" t="s">
        <v>35</v>
      </c>
      <c r="C30" s="36">
        <v>50653.845300000001</v>
      </c>
      <c r="D30" s="12" t="s">
        <v>46</v>
      </c>
      <c r="E30">
        <f t="shared" si="6"/>
        <v>59443.343797665082</v>
      </c>
      <c r="F30">
        <f t="shared" si="8"/>
        <v>59443.5</v>
      </c>
      <c r="G30">
        <f t="shared" si="1"/>
        <v>-6.9614061765605584E-2</v>
      </c>
      <c r="K30">
        <f t="shared" si="7"/>
        <v>-6.9614061765605584E-2</v>
      </c>
      <c r="O30">
        <f t="shared" ca="1" si="9"/>
        <v>-4.5093180131928812E-2</v>
      </c>
      <c r="P30" s="57">
        <f t="shared" si="2"/>
        <v>-5.6302218165404039E-2</v>
      </c>
      <c r="Q30" s="2">
        <f t="shared" si="3"/>
        <v>35635.345300000001</v>
      </c>
      <c r="R30" s="59">
        <f t="shared" si="4"/>
        <v>1.7720518003622683E-4</v>
      </c>
      <c r="S30" s="59">
        <v>1</v>
      </c>
      <c r="T30" s="59">
        <f t="shared" si="5"/>
        <v>1.7720518003622683E-4</v>
      </c>
    </row>
    <row r="31" spans="1:23" x14ac:dyDescent="0.2">
      <c r="A31" s="69" t="s">
        <v>56</v>
      </c>
      <c r="B31" s="35" t="s">
        <v>34</v>
      </c>
      <c r="C31" s="36">
        <v>51267.549599999998</v>
      </c>
      <c r="D31" s="12" t="s">
        <v>62</v>
      </c>
      <c r="E31">
        <f t="shared" si="6"/>
        <v>60820.393810042282</v>
      </c>
      <c r="F31">
        <f t="shared" si="8"/>
        <v>60820.5</v>
      </c>
      <c r="G31">
        <f t="shared" si="1"/>
        <v>-4.7325248233391903E-2</v>
      </c>
      <c r="K31">
        <f t="shared" si="7"/>
        <v>-4.7325248233391903E-2</v>
      </c>
      <c r="O31">
        <f t="shared" ca="1" si="9"/>
        <v>-4.7659336226939381E-2</v>
      </c>
      <c r="P31" s="57">
        <f t="shared" si="2"/>
        <v>-5.1550601327782664E-2</v>
      </c>
      <c r="Q31" s="2">
        <f t="shared" si="3"/>
        <v>36249.049599999998</v>
      </c>
      <c r="R31" s="59">
        <f t="shared" si="4"/>
        <v>1.7853608772277573E-5</v>
      </c>
      <c r="S31" s="59">
        <v>1</v>
      </c>
      <c r="T31" s="59">
        <f t="shared" si="5"/>
        <v>1.7853608772277573E-5</v>
      </c>
    </row>
    <row r="32" spans="1:23" x14ac:dyDescent="0.2">
      <c r="A32" s="10" t="s">
        <v>33</v>
      </c>
      <c r="B32" s="11" t="s">
        <v>34</v>
      </c>
      <c r="C32" s="10">
        <v>51267.549600000028</v>
      </c>
      <c r="D32" s="10">
        <v>5.9999999999999995E-4</v>
      </c>
      <c r="E32">
        <f t="shared" si="6"/>
        <v>60820.393810042347</v>
      </c>
      <c r="F32">
        <f t="shared" si="8"/>
        <v>60820.5</v>
      </c>
      <c r="G32">
        <f t="shared" si="1"/>
        <v>-4.7325248204288073E-2</v>
      </c>
      <c r="K32">
        <f t="shared" si="7"/>
        <v>-4.7325248204288073E-2</v>
      </c>
      <c r="O32">
        <f t="shared" ca="1" si="9"/>
        <v>-4.7659336226939381E-2</v>
      </c>
      <c r="P32" s="57">
        <f t="shared" si="2"/>
        <v>-5.1550601327782664E-2</v>
      </c>
      <c r="Q32" s="2">
        <f t="shared" si="3"/>
        <v>36249.049600000028</v>
      </c>
      <c r="R32" s="59">
        <f t="shared" si="4"/>
        <v>1.7853609018225495E-5</v>
      </c>
      <c r="S32" s="59">
        <v>1</v>
      </c>
      <c r="T32" s="59">
        <f t="shared" si="5"/>
        <v>1.7853609018225495E-5</v>
      </c>
    </row>
    <row r="33" spans="1:23" x14ac:dyDescent="0.2">
      <c r="A33" s="10" t="s">
        <v>33</v>
      </c>
      <c r="B33" s="11" t="s">
        <v>35</v>
      </c>
      <c r="C33" s="10">
        <v>51267.771999999881</v>
      </c>
      <c r="D33" s="10">
        <v>6.9999999999999999E-4</v>
      </c>
      <c r="E33">
        <f t="shared" si="6"/>
        <v>60820.892838519991</v>
      </c>
      <c r="F33">
        <f t="shared" si="8"/>
        <v>60821</v>
      </c>
      <c r="G33">
        <f t="shared" si="1"/>
        <v>-4.7758222644915804E-2</v>
      </c>
      <c r="K33">
        <f t="shared" si="7"/>
        <v>-4.7758222644915804E-2</v>
      </c>
      <c r="O33">
        <f t="shared" ca="1" si="9"/>
        <v>-4.7660268019275975E-2</v>
      </c>
      <c r="P33" s="57">
        <f t="shared" si="2"/>
        <v>-5.1549081092841398E-2</v>
      </c>
      <c r="Q33" s="2">
        <f t="shared" si="3"/>
        <v>36249.271999999881</v>
      </c>
      <c r="R33" s="59">
        <f t="shared" si="4"/>
        <v>1.437060777220884E-5</v>
      </c>
      <c r="S33" s="59">
        <v>1</v>
      </c>
      <c r="T33" s="59">
        <f t="shared" si="5"/>
        <v>1.437060777220884E-5</v>
      </c>
    </row>
    <row r="34" spans="1:23" x14ac:dyDescent="0.2">
      <c r="A34" t="s">
        <v>56</v>
      </c>
      <c r="B34" s="3" t="s">
        <v>35</v>
      </c>
      <c r="C34" s="12">
        <v>51267.771999999997</v>
      </c>
      <c r="D34" s="12" t="s">
        <v>62</v>
      </c>
      <c r="E34">
        <f t="shared" si="6"/>
        <v>60820.892838520253</v>
      </c>
      <c r="F34">
        <f t="shared" si="8"/>
        <v>60821</v>
      </c>
      <c r="G34">
        <f t="shared" si="1"/>
        <v>-4.7758222528500482E-2</v>
      </c>
      <c r="K34">
        <f t="shared" si="7"/>
        <v>-4.7758222528500482E-2</v>
      </c>
      <c r="O34">
        <f t="shared" ca="1" si="9"/>
        <v>-4.7660268019275975E-2</v>
      </c>
      <c r="P34" s="57">
        <f t="shared" si="2"/>
        <v>-5.1549081092841398E-2</v>
      </c>
      <c r="Q34" s="2">
        <f t="shared" si="3"/>
        <v>36249.271999999997</v>
      </c>
      <c r="R34" s="59">
        <f t="shared" si="4"/>
        <v>1.4370608654836866E-5</v>
      </c>
      <c r="S34" s="59">
        <v>1</v>
      </c>
      <c r="T34" s="59">
        <f t="shared" si="5"/>
        <v>1.4370608654836866E-5</v>
      </c>
    </row>
    <row r="35" spans="1:23" x14ac:dyDescent="0.2">
      <c r="A35" t="s">
        <v>59</v>
      </c>
      <c r="B35" s="3" t="s">
        <v>35</v>
      </c>
      <c r="C35" s="12">
        <v>51542.745000000003</v>
      </c>
      <c r="D35" s="12" t="s">
        <v>58</v>
      </c>
      <c r="E35">
        <f t="shared" si="6"/>
        <v>61437.886353236383</v>
      </c>
      <c r="F35">
        <f t="shared" si="8"/>
        <v>61438</v>
      </c>
      <c r="G35">
        <f t="shared" si="1"/>
        <v>-5.0648492710024584E-2</v>
      </c>
      <c r="K35">
        <f t="shared" si="7"/>
        <v>-5.0648492710024584E-2</v>
      </c>
      <c r="O35">
        <f t="shared" ca="1" si="9"/>
        <v>-4.8810099762646733E-2</v>
      </c>
      <c r="P35" s="57">
        <f t="shared" si="2"/>
        <v>-4.9786575757621243E-2</v>
      </c>
      <c r="Q35" s="2">
        <f t="shared" si="3"/>
        <v>36524.245000000003</v>
      </c>
      <c r="R35" s="59">
        <f t="shared" si="4"/>
        <v>7.4290083284026321E-7</v>
      </c>
      <c r="S35" s="59">
        <v>1</v>
      </c>
      <c r="T35" s="59">
        <f t="shared" si="5"/>
        <v>7.4290083284026321E-7</v>
      </c>
    </row>
    <row r="36" spans="1:23" x14ac:dyDescent="0.2">
      <c r="A36" t="s">
        <v>56</v>
      </c>
      <c r="B36" s="3" t="s">
        <v>34</v>
      </c>
      <c r="C36" s="12">
        <v>51543.417999999998</v>
      </c>
      <c r="D36" s="12" t="s">
        <v>62</v>
      </c>
      <c r="E36">
        <f t="shared" si="6"/>
        <v>61439.396452902176</v>
      </c>
      <c r="F36">
        <f t="shared" si="8"/>
        <v>61439.5</v>
      </c>
      <c r="G36">
        <f t="shared" si="1"/>
        <v>-4.614741557452362E-2</v>
      </c>
      <c r="K36">
        <f t="shared" si="7"/>
        <v>-4.614741557452362E-2</v>
      </c>
      <c r="O36">
        <f t="shared" ca="1" si="9"/>
        <v>-4.8812895139656545E-2</v>
      </c>
      <c r="P36" s="57">
        <f t="shared" si="2"/>
        <v>-4.9782567191159144E-2</v>
      </c>
      <c r="Q36" s="2">
        <f t="shared" si="3"/>
        <v>36524.917999999998</v>
      </c>
      <c r="R36" s="59">
        <f t="shared" si="4"/>
        <v>1.3214327275927861E-5</v>
      </c>
      <c r="S36" s="59">
        <v>1</v>
      </c>
      <c r="T36" s="59">
        <f t="shared" si="5"/>
        <v>1.3214327275927861E-5</v>
      </c>
    </row>
    <row r="37" spans="1:23" x14ac:dyDescent="0.2">
      <c r="A37" s="10" t="s">
        <v>33</v>
      </c>
      <c r="B37" s="11" t="s">
        <v>34</v>
      </c>
      <c r="C37" s="10">
        <v>51543.418000000063</v>
      </c>
      <c r="D37" s="10">
        <v>2.3E-3</v>
      </c>
      <c r="E37">
        <f t="shared" si="6"/>
        <v>61439.396452902321</v>
      </c>
      <c r="F37">
        <f t="shared" si="8"/>
        <v>61439.5</v>
      </c>
      <c r="G37">
        <f t="shared" si="1"/>
        <v>-4.6147415509040002E-2</v>
      </c>
      <c r="K37">
        <f t="shared" si="7"/>
        <v>-4.6147415509040002E-2</v>
      </c>
      <c r="O37">
        <f t="shared" ca="1" si="9"/>
        <v>-4.8812895139656545E-2</v>
      </c>
      <c r="P37" s="57">
        <f t="shared" si="2"/>
        <v>-4.9782567191159144E-2</v>
      </c>
      <c r="Q37" s="2">
        <f t="shared" si="3"/>
        <v>36524.918000000063</v>
      </c>
      <c r="R37" s="59">
        <f t="shared" si="4"/>
        <v>1.3214327752013628E-5</v>
      </c>
      <c r="S37" s="59">
        <v>1</v>
      </c>
      <c r="T37" s="59">
        <f t="shared" si="5"/>
        <v>1.3214327752013628E-5</v>
      </c>
    </row>
    <row r="38" spans="1:23" x14ac:dyDescent="0.2">
      <c r="A38" s="10" t="s">
        <v>33</v>
      </c>
      <c r="B38" s="11" t="s">
        <v>35</v>
      </c>
      <c r="C38" s="10">
        <v>51543.635799999814</v>
      </c>
      <c r="D38" s="10">
        <v>1.9E-3</v>
      </c>
      <c r="E38">
        <f t="shared" si="6"/>
        <v>61439.885159747544</v>
      </c>
      <c r="F38">
        <f t="shared" si="8"/>
        <v>61440</v>
      </c>
      <c r="G38">
        <f t="shared" si="1"/>
        <v>-5.118039004446473E-2</v>
      </c>
      <c r="K38">
        <f t="shared" si="7"/>
        <v>-5.118039004446473E-2</v>
      </c>
      <c r="O38">
        <f t="shared" ca="1" si="9"/>
        <v>-4.8813826931993154E-2</v>
      </c>
      <c r="P38" s="57">
        <f t="shared" si="2"/>
        <v>-4.9781231300148221E-2</v>
      </c>
      <c r="Q38" s="2">
        <f t="shared" si="3"/>
        <v>36525.135799999814</v>
      </c>
      <c r="R38" s="59">
        <f t="shared" si="4"/>
        <v>1.9576451917973496E-6</v>
      </c>
      <c r="S38" s="59">
        <v>1</v>
      </c>
      <c r="T38" s="59">
        <f t="shared" si="5"/>
        <v>1.9576451917973496E-6</v>
      </c>
    </row>
    <row r="39" spans="1:23" x14ac:dyDescent="0.2">
      <c r="A39" t="s">
        <v>56</v>
      </c>
      <c r="B39" s="3" t="s">
        <v>35</v>
      </c>
      <c r="C39" s="12">
        <v>51543.635799999996</v>
      </c>
      <c r="D39" s="12" t="s">
        <v>62</v>
      </c>
      <c r="E39">
        <f t="shared" si="6"/>
        <v>61439.885159747952</v>
      </c>
      <c r="F39">
        <f t="shared" si="8"/>
        <v>61440</v>
      </c>
      <c r="G39">
        <f t="shared" si="1"/>
        <v>-5.1180389862565789E-2</v>
      </c>
      <c r="K39">
        <f t="shared" si="7"/>
        <v>-5.1180389862565789E-2</v>
      </c>
      <c r="O39">
        <f t="shared" ca="1" si="9"/>
        <v>-4.8813826931993154E-2</v>
      </c>
      <c r="P39" s="57">
        <f t="shared" si="2"/>
        <v>-4.9781231300148221E-2</v>
      </c>
      <c r="Q39" s="2">
        <f t="shared" si="3"/>
        <v>36525.135799999996</v>
      </c>
      <c r="R39" s="59">
        <f t="shared" si="4"/>
        <v>1.9576446827863966E-6</v>
      </c>
      <c r="S39" s="59">
        <v>1</v>
      </c>
      <c r="T39" s="59">
        <f t="shared" si="5"/>
        <v>1.9576446827863966E-6</v>
      </c>
    </row>
    <row r="40" spans="1:23" ht="15" x14ac:dyDescent="0.2">
      <c r="A40" s="14" t="s">
        <v>72</v>
      </c>
      <c r="B40" s="62" t="s">
        <v>34</v>
      </c>
      <c r="C40" s="12">
        <v>57082.140599999999</v>
      </c>
      <c r="D40" s="63">
        <v>2.9999999999999997E-4</v>
      </c>
      <c r="E40">
        <f t="shared" si="6"/>
        <v>73867.365468084114</v>
      </c>
      <c r="F40">
        <f t="shared" si="8"/>
        <v>73867.5</v>
      </c>
      <c r="G40">
        <f t="shared" si="1"/>
        <v>-5.9956293916911818E-2</v>
      </c>
      <c r="K40">
        <f t="shared" si="7"/>
        <v>-5.9956293916911818E-2</v>
      </c>
      <c r="O40">
        <f t="shared" ca="1" si="9"/>
        <v>-7.197352545831405E-2</v>
      </c>
      <c r="P40" s="57">
        <f t="shared" si="2"/>
        <v>-6.2573993146380902E-2</v>
      </c>
      <c r="Q40" s="2">
        <f t="shared" si="3"/>
        <v>42063.640599999999</v>
      </c>
      <c r="R40" s="59">
        <f t="shared" si="4"/>
        <v>6.852349255963035E-6</v>
      </c>
      <c r="S40" s="59">
        <v>1</v>
      </c>
      <c r="T40" s="59">
        <f t="shared" si="5"/>
        <v>6.852349255963035E-6</v>
      </c>
    </row>
    <row r="41" spans="1:23" x14ac:dyDescent="0.2">
      <c r="A41" s="64" t="s">
        <v>2</v>
      </c>
      <c r="B41" s="65" t="s">
        <v>35</v>
      </c>
      <c r="C41" s="64">
        <v>57503.063999999998</v>
      </c>
      <c r="D41" s="64">
        <v>2E-3</v>
      </c>
      <c r="E41">
        <f t="shared" si="6"/>
        <v>74811.847319001317</v>
      </c>
      <c r="F41">
        <f t="shared" si="8"/>
        <v>74812</v>
      </c>
      <c r="G41">
        <f t="shared" si="1"/>
        <v>-6.8044722109334543E-2</v>
      </c>
      <c r="K41">
        <f t="shared" si="7"/>
        <v>-6.8044722109334543E-2</v>
      </c>
      <c r="O41">
        <f t="shared" ca="1" si="9"/>
        <v>-7.3733681182161157E-2</v>
      </c>
      <c r="P41" s="57">
        <f t="shared" si="2"/>
        <v>-6.7307540770987329E-2</v>
      </c>
      <c r="Q41" s="2">
        <f t="shared" si="3"/>
        <v>42484.563999999998</v>
      </c>
      <c r="R41" s="59">
        <f t="shared" si="4"/>
        <v>5.4343632560739071E-7</v>
      </c>
      <c r="S41" s="59">
        <v>1</v>
      </c>
      <c r="T41" s="59">
        <f t="shared" si="5"/>
        <v>5.4343632560739071E-7</v>
      </c>
    </row>
    <row r="42" spans="1:23" ht="12" customHeight="1" x14ac:dyDescent="0.2">
      <c r="A42" s="66" t="s">
        <v>1</v>
      </c>
      <c r="B42" s="67" t="s">
        <v>34</v>
      </c>
      <c r="C42" s="66">
        <v>58177.12444</v>
      </c>
      <c r="D42" s="66">
        <v>2.9999999999999997E-4</v>
      </c>
      <c r="E42">
        <f t="shared" si="6"/>
        <v>76324.326435157083</v>
      </c>
      <c r="F42">
        <f t="shared" si="8"/>
        <v>76324.5</v>
      </c>
      <c r="G42">
        <f t="shared" si="1"/>
        <v>-7.7351940359221771E-2</v>
      </c>
      <c r="K42">
        <f t="shared" si="7"/>
        <v>-7.7351940359221771E-2</v>
      </c>
      <c r="O42">
        <f t="shared" ca="1" si="9"/>
        <v>-7.6552353000391718E-2</v>
      </c>
      <c r="P42" s="57">
        <f t="shared" si="2"/>
        <v>-7.5994454658089294E-2</v>
      </c>
      <c r="Q42" s="2">
        <f t="shared" si="3"/>
        <v>43158.62444</v>
      </c>
      <c r="R42" s="59">
        <f t="shared" si="4"/>
        <v>1.8427674287791326E-6</v>
      </c>
      <c r="S42" s="59">
        <v>1</v>
      </c>
      <c r="T42" s="59">
        <f t="shared" si="5"/>
        <v>1.8427674287791326E-6</v>
      </c>
    </row>
    <row r="43" spans="1:23" ht="12" customHeight="1" x14ac:dyDescent="0.2">
      <c r="A43" s="66" t="s">
        <v>1</v>
      </c>
      <c r="B43" s="67" t="s">
        <v>35</v>
      </c>
      <c r="C43" s="66">
        <v>58216.115519999999</v>
      </c>
      <c r="D43" s="66">
        <v>1E-4</v>
      </c>
      <c r="E43">
        <f t="shared" si="6"/>
        <v>76411.815910457459</v>
      </c>
      <c r="F43">
        <f t="shared" si="8"/>
        <v>76412</v>
      </c>
      <c r="G43">
        <f t="shared" si="1"/>
        <v>-8.2042440590157639E-2</v>
      </c>
      <c r="K43">
        <f t="shared" si="7"/>
        <v>-8.2042440590157639E-2</v>
      </c>
      <c r="O43">
        <f t="shared" ca="1" si="9"/>
        <v>-7.6715416659297639E-2</v>
      </c>
      <c r="P43" s="57">
        <f t="shared" si="2"/>
        <v>-7.6538696691279551E-2</v>
      </c>
      <c r="Q43" s="2">
        <f t="shared" si="3"/>
        <v>43197.615519999999</v>
      </c>
      <c r="R43" s="59">
        <f t="shared" si="4"/>
        <v>3.0291196904437781E-5</v>
      </c>
      <c r="S43" s="59">
        <v>1</v>
      </c>
      <c r="T43" s="59">
        <f t="shared" si="5"/>
        <v>3.0291196904437781E-5</v>
      </c>
    </row>
    <row r="44" spans="1:23" ht="12" customHeight="1" x14ac:dyDescent="0.2">
      <c r="A44" s="70" t="s">
        <v>73</v>
      </c>
      <c r="B44" s="71" t="s">
        <v>35</v>
      </c>
      <c r="C44" s="72">
        <v>58575.097529999912</v>
      </c>
      <c r="D44" s="70">
        <v>1.5E-3</v>
      </c>
      <c r="E44">
        <f t="shared" si="6"/>
        <v>77217.311621198911</v>
      </c>
      <c r="F44">
        <f t="shared" si="8"/>
        <v>77217.5</v>
      </c>
      <c r="G44">
        <f t="shared" si="1"/>
        <v>-8.3954017085488886E-2</v>
      </c>
      <c r="K44">
        <f t="shared" si="7"/>
        <v>-8.3954017085488886E-2</v>
      </c>
      <c r="O44">
        <f t="shared" ca="1" si="9"/>
        <v>-7.8216534113568506E-2</v>
      </c>
      <c r="P44" s="57">
        <f t="shared" si="2"/>
        <v>-8.1763050974169804E-2</v>
      </c>
      <c r="Q44" s="2">
        <f t="shared" si="3"/>
        <v>43556.597529999912</v>
      </c>
      <c r="R44" s="59">
        <f t="shared" si="4"/>
        <v>4.8003325009486576E-6</v>
      </c>
      <c r="S44" s="59">
        <v>1</v>
      </c>
      <c r="T44" s="59">
        <f t="shared" si="5"/>
        <v>4.8003325009486576E-6</v>
      </c>
    </row>
    <row r="45" spans="1:23" ht="12" customHeight="1" x14ac:dyDescent="0.2">
      <c r="A45" s="70" t="s">
        <v>73</v>
      </c>
      <c r="B45" s="71" t="s">
        <v>34</v>
      </c>
      <c r="C45" s="72">
        <v>58580.222339999862</v>
      </c>
      <c r="D45" s="70">
        <v>1.1999999999999999E-3</v>
      </c>
      <c r="E45">
        <f t="shared" si="6"/>
        <v>77228.810839428057</v>
      </c>
      <c r="F45">
        <f t="shared" si="8"/>
        <v>77229</v>
      </c>
      <c r="G45">
        <f t="shared" si="1"/>
        <v>-8.430242573376745E-2</v>
      </c>
      <c r="K45">
        <f t="shared" si="7"/>
        <v>-8.430242573376745E-2</v>
      </c>
      <c r="O45">
        <f t="shared" ca="1" si="9"/>
        <v>-7.8237965337310436E-2</v>
      </c>
      <c r="P45" s="57">
        <f t="shared" si="2"/>
        <v>-8.1840436346134471E-2</v>
      </c>
      <c r="Q45" s="2">
        <f t="shared" si="3"/>
        <v>43561.722339999862</v>
      </c>
      <c r="R45" s="59">
        <f t="shared" si="4"/>
        <v>6.0613917448174112E-6</v>
      </c>
      <c r="S45" s="59">
        <v>1</v>
      </c>
      <c r="T45" s="59">
        <f t="shared" si="5"/>
        <v>6.0613917448174112E-6</v>
      </c>
    </row>
    <row r="46" spans="1:23" ht="12" customHeight="1" x14ac:dyDescent="0.2">
      <c r="A46" s="70" t="s">
        <v>74</v>
      </c>
      <c r="B46" s="71" t="s">
        <v>34</v>
      </c>
      <c r="C46" s="72">
        <v>58948.118480000179</v>
      </c>
      <c r="D46" s="70">
        <v>2.2899999999999999E-3</v>
      </c>
      <c r="E46">
        <f t="shared" si="6"/>
        <v>78054.308369983017</v>
      </c>
      <c r="F46">
        <f t="shared" si="8"/>
        <v>78054.5</v>
      </c>
      <c r="G46">
        <f t="shared" si="1"/>
        <v>-8.5402973301825114E-2</v>
      </c>
      <c r="K46">
        <f t="shared" si="7"/>
        <v>-8.5402973301825114E-2</v>
      </c>
      <c r="O46">
        <f t="shared" ca="1" si="9"/>
        <v>-7.9776354485045539E-2</v>
      </c>
      <c r="P46" s="57">
        <f t="shared" si="2"/>
        <v>-8.760112959067512E-2</v>
      </c>
      <c r="Q46" s="2">
        <f t="shared" si="3"/>
        <v>43929.618480000179</v>
      </c>
      <c r="R46" s="59">
        <f t="shared" si="4"/>
        <v>4.8318910702108319E-6</v>
      </c>
      <c r="S46" s="59">
        <v>1</v>
      </c>
      <c r="T46" s="59">
        <f t="shared" si="5"/>
        <v>4.8318910702108319E-6</v>
      </c>
    </row>
    <row r="47" spans="1:23" ht="12" customHeight="1" x14ac:dyDescent="0.2">
      <c r="A47" s="77" t="s">
        <v>78</v>
      </c>
      <c r="B47" s="80" t="s">
        <v>34</v>
      </c>
      <c r="C47" s="77">
        <v>59307.550372203812</v>
      </c>
      <c r="D47" s="81">
        <v>7.4200000000000004E-4</v>
      </c>
      <c r="E47">
        <f t="shared" si="6"/>
        <v>78860.813541297248</v>
      </c>
      <c r="F47">
        <f t="shared" si="8"/>
        <v>78861</v>
      </c>
      <c r="G47">
        <f t="shared" si="1"/>
        <v>-8.3098294635419734E-2</v>
      </c>
      <c r="L47">
        <f t="shared" ref="L47:L58" si="10">+G47</f>
        <v>-8.3098294635419734E-2</v>
      </c>
      <c r="O47">
        <f t="shared" ca="1" si="9"/>
        <v>-8.1279335523989624E-2</v>
      </c>
      <c r="P47" s="57">
        <f t="shared" si="2"/>
        <v>-9.3621211607775257E-2</v>
      </c>
      <c r="Q47" s="2">
        <f t="shared" si="3"/>
        <v>44289.050372203812</v>
      </c>
      <c r="R47" s="59">
        <f t="shared" si="4"/>
        <v>1.1073178160708792E-4</v>
      </c>
      <c r="S47" s="59">
        <v>1</v>
      </c>
      <c r="T47" s="59">
        <f t="shared" si="5"/>
        <v>1.1073178160708792E-4</v>
      </c>
      <c r="W47" s="82" t="s">
        <v>76</v>
      </c>
    </row>
    <row r="48" spans="1:23" ht="12" customHeight="1" x14ac:dyDescent="0.2">
      <c r="A48" s="77" t="s">
        <v>78</v>
      </c>
      <c r="B48" s="80" t="s">
        <v>35</v>
      </c>
      <c r="C48" s="77">
        <v>59307.774792193901</v>
      </c>
      <c r="D48" s="81">
        <v>1.1640000000000001E-3</v>
      </c>
      <c r="E48">
        <f t="shared" si="6"/>
        <v>78861.317102295798</v>
      </c>
      <c r="F48">
        <f t="shared" si="8"/>
        <v>78861.5</v>
      </c>
      <c r="G48">
        <f t="shared" si="1"/>
        <v>-8.1511278840480372E-2</v>
      </c>
      <c r="L48">
        <f t="shared" si="10"/>
        <v>-8.1511278840480372E-2</v>
      </c>
      <c r="O48">
        <f t="shared" ca="1" si="9"/>
        <v>-8.1280267316326246E-2</v>
      </c>
      <c r="P48" s="57">
        <f t="shared" si="2"/>
        <v>-9.3625064000727232E-2</v>
      </c>
      <c r="Q48" s="2">
        <f t="shared" si="3"/>
        <v>44289.274792193901</v>
      </c>
      <c r="R48" s="59">
        <f t="shared" si="4"/>
        <v>1.4674379090861701E-4</v>
      </c>
      <c r="S48" s="59">
        <v>1</v>
      </c>
      <c r="T48" s="59">
        <f t="shared" si="5"/>
        <v>1.4674379090861701E-4</v>
      </c>
      <c r="W48" s="82" t="s">
        <v>76</v>
      </c>
    </row>
    <row r="49" spans="1:23" x14ac:dyDescent="0.2">
      <c r="A49" s="77" t="s">
        <v>78</v>
      </c>
      <c r="B49" s="80" t="s">
        <v>34</v>
      </c>
      <c r="C49" s="77">
        <v>59318.2461416726</v>
      </c>
      <c r="D49" s="81">
        <v>8.92E-4</v>
      </c>
      <c r="E49">
        <f t="shared" si="6"/>
        <v>78884.813062694404</v>
      </c>
      <c r="F49">
        <f t="shared" si="8"/>
        <v>78885</v>
      </c>
      <c r="G49">
        <f t="shared" si="1"/>
        <v>-8.3311591632082127E-2</v>
      </c>
      <c r="L49">
        <f t="shared" si="10"/>
        <v>-8.3311591632082127E-2</v>
      </c>
      <c r="O49">
        <f t="shared" ca="1" si="9"/>
        <v>-8.1324061556146673E-2</v>
      </c>
      <c r="P49" s="57">
        <f t="shared" si="2"/>
        <v>-9.3806294433892878E-2</v>
      </c>
      <c r="Q49" s="2">
        <f t="shared" si="3"/>
        <v>44299.7461416726</v>
      </c>
      <c r="R49" s="59">
        <f t="shared" si="4"/>
        <v>1.1013878689833444E-4</v>
      </c>
      <c r="S49" s="59">
        <v>1</v>
      </c>
      <c r="T49" s="59">
        <f t="shared" si="5"/>
        <v>1.1013878689833444E-4</v>
      </c>
      <c r="W49" s="82" t="s">
        <v>76</v>
      </c>
    </row>
    <row r="50" spans="1:23" x14ac:dyDescent="0.2">
      <c r="A50" s="77" t="s">
        <v>78</v>
      </c>
      <c r="B50" s="80" t="s">
        <v>35</v>
      </c>
      <c r="C50" s="77">
        <v>59318.471491659526</v>
      </c>
      <c r="D50" s="81">
        <v>9.3499999999999996E-4</v>
      </c>
      <c r="E50">
        <f t="shared" si="6"/>
        <v>78885.318710450636</v>
      </c>
      <c r="F50">
        <f t="shared" si="8"/>
        <v>78885.5</v>
      </c>
      <c r="G50">
        <f t="shared" si="1"/>
        <v>-8.0794578985660337E-2</v>
      </c>
      <c r="L50">
        <f t="shared" si="10"/>
        <v>-8.0794578985660337E-2</v>
      </c>
      <c r="O50">
        <f t="shared" ca="1" si="9"/>
        <v>-8.1324993348483296E-2</v>
      </c>
      <c r="P50" s="57">
        <f t="shared" si="2"/>
        <v>-9.3810153974266841E-2</v>
      </c>
      <c r="Q50" s="2">
        <f t="shared" si="3"/>
        <v>44299.971491659526</v>
      </c>
      <c r="R50" s="59">
        <f t="shared" si="4"/>
        <v>1.6940519228403919E-4</v>
      </c>
      <c r="S50" s="59">
        <v>1</v>
      </c>
      <c r="T50" s="59">
        <f t="shared" si="5"/>
        <v>1.6940519228403919E-4</v>
      </c>
      <c r="W50" s="82" t="s">
        <v>76</v>
      </c>
    </row>
    <row r="51" spans="1:23" x14ac:dyDescent="0.2">
      <c r="A51" s="77" t="s">
        <v>78</v>
      </c>
      <c r="B51" s="80" t="s">
        <v>34</v>
      </c>
      <c r="C51" s="77">
        <v>59332.062361381482</v>
      </c>
      <c r="D51" s="81">
        <v>1.7260000000000001E-3</v>
      </c>
      <c r="E51">
        <f t="shared" si="6"/>
        <v>78915.814353578506</v>
      </c>
      <c r="F51">
        <f t="shared" si="8"/>
        <v>78916</v>
      </c>
      <c r="G51">
        <f t="shared" si="1"/>
        <v>-8.2736288546584547E-2</v>
      </c>
      <c r="L51">
        <f t="shared" si="10"/>
        <v>-8.2736288546584547E-2</v>
      </c>
      <c r="O51">
        <f t="shared" ca="1" si="9"/>
        <v>-8.1381832681016189E-2</v>
      </c>
      <c r="P51" s="57">
        <f t="shared" si="2"/>
        <v>-9.4045867515743398E-2</v>
      </c>
      <c r="Q51" s="2">
        <f t="shared" si="3"/>
        <v>44313.562361381482</v>
      </c>
      <c r="R51" s="59">
        <f t="shared" si="4"/>
        <v>1.2790657645964017E-4</v>
      </c>
      <c r="S51" s="59">
        <v>1</v>
      </c>
      <c r="T51" s="59">
        <f t="shared" si="5"/>
        <v>1.2790657645964017E-4</v>
      </c>
      <c r="W51" s="82" t="s">
        <v>76</v>
      </c>
    </row>
    <row r="52" spans="1:23" x14ac:dyDescent="0.2">
      <c r="A52" s="77" t="s">
        <v>78</v>
      </c>
      <c r="B52" s="80" t="s">
        <v>35</v>
      </c>
      <c r="C52" s="77">
        <v>59332.286891367286</v>
      </c>
      <c r="D52" s="81">
        <v>7.6099999999999996E-4</v>
      </c>
      <c r="E52">
        <f t="shared" si="6"/>
        <v>78916.318161389092</v>
      </c>
      <c r="F52">
        <f t="shared" si="8"/>
        <v>78916.5</v>
      </c>
      <c r="G52">
        <f t="shared" si="1"/>
        <v>-8.103927702177316E-2</v>
      </c>
      <c r="L52">
        <f t="shared" si="10"/>
        <v>-8.103927702177316E-2</v>
      </c>
      <c r="O52">
        <f t="shared" ca="1" si="9"/>
        <v>-8.1382764473352812E-2</v>
      </c>
      <c r="P52" s="57">
        <f t="shared" si="2"/>
        <v>-9.4049736288204455E-2</v>
      </c>
      <c r="Q52" s="2">
        <f t="shared" si="3"/>
        <v>44313.786891367286</v>
      </c>
      <c r="R52" s="59">
        <f t="shared" si="4"/>
        <v>1.6927205032346796E-4</v>
      </c>
      <c r="S52" s="59">
        <v>1</v>
      </c>
      <c r="T52" s="59">
        <f t="shared" si="5"/>
        <v>1.6927205032346796E-4</v>
      </c>
      <c r="W52" s="82" t="s">
        <v>76</v>
      </c>
    </row>
    <row r="53" spans="1:23" x14ac:dyDescent="0.2">
      <c r="A53" s="77" t="s">
        <v>78</v>
      </c>
      <c r="B53" s="80" t="s">
        <v>34</v>
      </c>
      <c r="C53" s="77">
        <v>59334.29080129182</v>
      </c>
      <c r="D53" s="81">
        <v>1.65E-3</v>
      </c>
      <c r="E53">
        <f t="shared" si="6"/>
        <v>78920.814600775906</v>
      </c>
      <c r="F53">
        <f t="shared" si="8"/>
        <v>78921</v>
      </c>
      <c r="G53">
        <f t="shared" si="1"/>
        <v>-8.2626121075008996E-2</v>
      </c>
      <c r="L53">
        <f t="shared" si="10"/>
        <v>-8.2626121075008996E-2</v>
      </c>
      <c r="O53">
        <f t="shared" ca="1" si="9"/>
        <v>-8.1391150604382248E-2</v>
      </c>
      <c r="P53" s="57">
        <f t="shared" si="2"/>
        <v>-9.4084561941063294E-2</v>
      </c>
      <c r="Q53" s="2">
        <f t="shared" si="3"/>
        <v>44315.79080129182</v>
      </c>
      <c r="R53" s="59">
        <f t="shared" si="4"/>
        <v>1.3129586708086316E-4</v>
      </c>
      <c r="S53" s="59">
        <v>1</v>
      </c>
      <c r="T53" s="59">
        <f t="shared" si="5"/>
        <v>1.3129586708086316E-4</v>
      </c>
      <c r="W53" s="82" t="s">
        <v>76</v>
      </c>
    </row>
    <row r="54" spans="1:23" x14ac:dyDescent="0.2">
      <c r="A54" s="77" t="s">
        <v>78</v>
      </c>
      <c r="B54" s="80" t="s">
        <v>34</v>
      </c>
      <c r="C54" s="77">
        <v>59334.290881291963</v>
      </c>
      <c r="D54" s="81">
        <v>1.572E-3</v>
      </c>
      <c r="E54">
        <f t="shared" si="6"/>
        <v>78920.814780282875</v>
      </c>
      <c r="F54">
        <f t="shared" si="8"/>
        <v>78921</v>
      </c>
      <c r="G54">
        <f t="shared" si="1"/>
        <v>-8.2546120931510814E-2</v>
      </c>
      <c r="L54">
        <f t="shared" si="10"/>
        <v>-8.2546120931510814E-2</v>
      </c>
      <c r="O54">
        <f t="shared" ca="1" si="9"/>
        <v>-8.1391150604382248E-2</v>
      </c>
      <c r="P54" s="57">
        <f t="shared" si="2"/>
        <v>-9.4084561941063294E-2</v>
      </c>
      <c r="Q54" s="2">
        <f t="shared" si="3"/>
        <v>44315.790881291963</v>
      </c>
      <c r="R54" s="59">
        <f t="shared" si="4"/>
        <v>1.3313562093092245E-4</v>
      </c>
      <c r="S54" s="59">
        <v>1</v>
      </c>
      <c r="T54" s="59">
        <f t="shared" si="5"/>
        <v>1.3313562093092245E-4</v>
      </c>
      <c r="W54" s="82" t="s">
        <v>76</v>
      </c>
    </row>
    <row r="55" spans="1:23" x14ac:dyDescent="0.2">
      <c r="A55" s="77" t="s">
        <v>78</v>
      </c>
      <c r="B55" s="80" t="s">
        <v>34</v>
      </c>
      <c r="C55" s="77">
        <v>59345.879030742217</v>
      </c>
      <c r="D55" s="81">
        <v>9.9200000000000004E-4</v>
      </c>
      <c r="E55">
        <f t="shared" si="6"/>
        <v>78946.816653406306</v>
      </c>
      <c r="F55">
        <f t="shared" si="8"/>
        <v>78947</v>
      </c>
      <c r="G55">
        <f t="shared" si="1"/>
        <v>-8.1711333608836867E-2</v>
      </c>
      <c r="L55">
        <f t="shared" si="10"/>
        <v>-8.1711333608836867E-2</v>
      </c>
      <c r="O55">
        <f t="shared" ca="1" si="9"/>
        <v>-8.1439603805885705E-2</v>
      </c>
      <c r="P55" s="57">
        <f t="shared" si="2"/>
        <v>-9.4286012986985579E-2</v>
      </c>
      <c r="Q55" s="2">
        <f t="shared" si="3"/>
        <v>44327.379030742217</v>
      </c>
      <c r="R55" s="59">
        <f t="shared" si="4"/>
        <v>1.5812256146323849E-4</v>
      </c>
      <c r="S55" s="59">
        <v>1</v>
      </c>
      <c r="T55" s="59">
        <f t="shared" si="5"/>
        <v>1.5812256146323849E-4</v>
      </c>
      <c r="W55" s="82" t="s">
        <v>76</v>
      </c>
    </row>
    <row r="56" spans="1:23" x14ac:dyDescent="0.2">
      <c r="A56" s="77" t="s">
        <v>78</v>
      </c>
      <c r="B56" s="80" t="s">
        <v>35</v>
      </c>
      <c r="C56" s="77">
        <v>59346.10303073097</v>
      </c>
      <c r="D56" s="81">
        <v>2.15E-3</v>
      </c>
      <c r="E56">
        <f t="shared" si="6"/>
        <v>78947.319271991975</v>
      </c>
      <c r="F56">
        <f t="shared" si="8"/>
        <v>78947.5</v>
      </c>
      <c r="G56">
        <f t="shared" si="1"/>
        <v>-8.0544319134787656E-2</v>
      </c>
      <c r="L56">
        <f t="shared" si="10"/>
        <v>-8.0544319134787656E-2</v>
      </c>
      <c r="O56">
        <f t="shared" ca="1" si="9"/>
        <v>-8.1440535598222327E-2</v>
      </c>
      <c r="P56" s="57">
        <f t="shared" si="2"/>
        <v>-9.4289890991533509E-2</v>
      </c>
      <c r="Q56" s="2">
        <f t="shared" si="3"/>
        <v>44327.60303073097</v>
      </c>
      <c r="R56" s="59">
        <f t="shared" si="4"/>
        <v>1.8894074566896363E-4</v>
      </c>
      <c r="S56" s="59">
        <v>1</v>
      </c>
      <c r="T56" s="59">
        <f t="shared" si="5"/>
        <v>1.8894074566896363E-4</v>
      </c>
      <c r="W56" s="82" t="s">
        <v>76</v>
      </c>
    </row>
    <row r="57" spans="1:23" x14ac:dyDescent="0.2">
      <c r="A57" s="77" t="s">
        <v>78</v>
      </c>
      <c r="B57" s="80" t="s">
        <v>34</v>
      </c>
      <c r="C57" s="77">
        <v>59359.694070477504</v>
      </c>
      <c r="D57" s="81">
        <v>4.0700000000000003E-4</v>
      </c>
      <c r="E57">
        <f t="shared" si="6"/>
        <v>78977.815296626606</v>
      </c>
      <c r="F57">
        <f t="shared" si="8"/>
        <v>78978</v>
      </c>
      <c r="G57">
        <f t="shared" si="1"/>
        <v>-8.2316004103631712E-2</v>
      </c>
      <c r="L57">
        <f t="shared" si="10"/>
        <v>-8.2316004103631712E-2</v>
      </c>
      <c r="O57">
        <f t="shared" ca="1" si="9"/>
        <v>-8.1497374930755248E-2</v>
      </c>
      <c r="P57" s="57">
        <f t="shared" si="2"/>
        <v>-9.4526730847618312E-2</v>
      </c>
      <c r="Q57" s="2">
        <f t="shared" si="3"/>
        <v>44341.194070477504</v>
      </c>
      <c r="R57" s="59">
        <f t="shared" si="4"/>
        <v>1.4910184761630959E-4</v>
      </c>
      <c r="S57" s="59">
        <v>1</v>
      </c>
      <c r="T57" s="59">
        <f t="shared" si="5"/>
        <v>1.4910184761630959E-4</v>
      </c>
      <c r="W57" s="82" t="s">
        <v>76</v>
      </c>
    </row>
    <row r="58" spans="1:23" x14ac:dyDescent="0.2">
      <c r="A58" s="77" t="s">
        <v>78</v>
      </c>
      <c r="B58" s="80" t="s">
        <v>35</v>
      </c>
      <c r="C58" s="77">
        <v>59359.918690467719</v>
      </c>
      <c r="D58" s="81">
        <v>1.0449999999999999E-3</v>
      </c>
      <c r="E58">
        <f t="shared" si="6"/>
        <v>78978.319306392077</v>
      </c>
      <c r="F58">
        <f t="shared" si="8"/>
        <v>78978.5</v>
      </c>
      <c r="G58">
        <f t="shared" si="1"/>
        <v>-8.0528988182777539E-2</v>
      </c>
      <c r="L58">
        <f t="shared" si="10"/>
        <v>-8.0528988182777539E-2</v>
      </c>
      <c r="O58">
        <f t="shared" ca="1" si="9"/>
        <v>-8.1498306723091843E-2</v>
      </c>
      <c r="P58" s="57">
        <f t="shared" si="2"/>
        <v>-9.4530618084253337E-2</v>
      </c>
      <c r="Q58" s="2">
        <f t="shared" si="3"/>
        <v>44341.418690467719</v>
      </c>
      <c r="R58" s="59">
        <f t="shared" si="4"/>
        <v>1.9604563989790118E-4</v>
      </c>
      <c r="S58" s="59">
        <v>1</v>
      </c>
      <c r="T58" s="59">
        <f t="shared" si="5"/>
        <v>1.9604563989790118E-4</v>
      </c>
      <c r="W58" s="82" t="s">
        <v>76</v>
      </c>
    </row>
    <row r="59" spans="1:23" x14ac:dyDescent="0.2">
      <c r="A59" s="73" t="s">
        <v>75</v>
      </c>
      <c r="B59" s="74" t="s">
        <v>35</v>
      </c>
      <c r="C59" s="75">
        <v>59641.136624000035</v>
      </c>
      <c r="D59" s="76">
        <v>2.4000000000000001E-4</v>
      </c>
      <c r="E59">
        <f t="shared" si="6"/>
        <v>79609.325409577868</v>
      </c>
      <c r="F59">
        <f t="shared" si="8"/>
        <v>79609.5</v>
      </c>
      <c r="G59">
        <f t="shared" si="1"/>
        <v>-7.7809006092138588E-2</v>
      </c>
      <c r="K59">
        <f t="shared" si="7"/>
        <v>-7.7809006092138588E-2</v>
      </c>
      <c r="O59">
        <f t="shared" ca="1" si="9"/>
        <v>-8.2674228651887546E-2</v>
      </c>
      <c r="P59" s="57">
        <f t="shared" si="2"/>
        <v>-9.9554980707893481E-2</v>
      </c>
      <c r="Q59" s="2">
        <f t="shared" si="3"/>
        <v>44622.636624000035</v>
      </c>
      <c r="R59" s="59">
        <f t="shared" si="4"/>
        <v>4.7288741198905617E-4</v>
      </c>
      <c r="S59" s="59">
        <v>1</v>
      </c>
      <c r="T59" s="59">
        <f t="shared" si="5"/>
        <v>4.7288741198905617E-4</v>
      </c>
      <c r="W59" s="82" t="s">
        <v>76</v>
      </c>
    </row>
    <row r="60" spans="1:23" ht="12.75" customHeight="1" x14ac:dyDescent="0.25">
      <c r="A60" s="77" t="s">
        <v>77</v>
      </c>
      <c r="B60" s="78" t="s">
        <v>35</v>
      </c>
      <c r="C60" s="79">
        <v>60113.989905999973</v>
      </c>
      <c r="D60" s="79">
        <v>1.805E-3</v>
      </c>
      <c r="E60">
        <f t="shared" si="6"/>
        <v>80670.329247795424</v>
      </c>
      <c r="F60">
        <f t="shared" si="8"/>
        <v>80670.5</v>
      </c>
      <c r="G60">
        <f t="shared" si="1"/>
        <v>-7.6098443227238022E-2</v>
      </c>
      <c r="K60">
        <f t="shared" si="7"/>
        <v>-7.6098443227238022E-2</v>
      </c>
      <c r="O60">
        <f t="shared" ca="1" si="9"/>
        <v>-8.4651491990163655E-2</v>
      </c>
      <c r="P60" s="57">
        <f t="shared" si="2"/>
        <v>-0.10853786620335137</v>
      </c>
      <c r="Q60" s="2">
        <f t="shared" si="3"/>
        <v>45095.489905999973</v>
      </c>
      <c r="R60" s="59">
        <f t="shared" si="4"/>
        <v>1.0523161630231908E-3</v>
      </c>
      <c r="S60" s="59">
        <v>1</v>
      </c>
      <c r="T60" s="59">
        <f t="shared" si="5"/>
        <v>1.0523161630231908E-3</v>
      </c>
    </row>
  </sheetData>
  <sortState xmlns:xlrd2="http://schemas.microsoft.com/office/spreadsheetml/2017/richdata2" ref="A21:U60">
    <sortCondition ref="C21:C60"/>
  </sortState>
  <phoneticPr fontId="7" type="noConversion"/>
  <hyperlinks>
    <hyperlink ref="H62972" r:id="rId1" display="http://vsolj.cetus-net.org/bulletin.html" xr:uid="{00000000-0004-0000-0000-000000000000}"/>
    <hyperlink ref="H62965" r:id="rId2" display="http://vsolj.cetus-net.org/bulletin.html" xr:uid="{00000000-0004-0000-0000-000001000000}"/>
    <hyperlink ref="AP462" r:id="rId3" display="http://cdsbib.u-strasbg.fr/cgi-bin/cdsbib?1990RMxAA..21..381G" xr:uid="{00000000-0004-0000-0000-000002000000}"/>
    <hyperlink ref="AP465" r:id="rId4" display="http://cdsbib.u-strasbg.fr/cgi-bin/cdsbib?1990RMxAA..21..381G" xr:uid="{00000000-0004-0000-0000-000003000000}"/>
    <hyperlink ref="AP463" r:id="rId5" display="http://cdsbib.u-strasbg.fr/cgi-bin/cdsbib?1990RMxAA..21..381G" xr:uid="{00000000-0004-0000-0000-000004000000}"/>
    <hyperlink ref="AP441" r:id="rId6" display="http://cdsbib.u-strasbg.fr/cgi-bin/cdsbib?1990RMxAA..21..381G" xr:uid="{00000000-0004-0000-0000-000005000000}"/>
    <hyperlink ref="I62972" r:id="rId7" display="http://vsolj.cetus-net.org/bulletin.html" xr:uid="{00000000-0004-0000-0000-000006000000}"/>
    <hyperlink ref="AQ575" r:id="rId8" display="http://cdsbib.u-strasbg.fr/cgi-bin/cdsbib?1990RMxAA..21..381G" xr:uid="{00000000-0004-0000-0000-000007000000}"/>
    <hyperlink ref="AQ64380" r:id="rId9" display="http://cdsbib.u-strasbg.fr/cgi-bin/cdsbib?1990RMxAA..21..381G" xr:uid="{00000000-0004-0000-0000-000008000000}"/>
    <hyperlink ref="AQ576" r:id="rId10" display="http://cdsbib.u-strasbg.fr/cgi-bin/cdsbib?1990RMxAA..21..381G" xr:uid="{00000000-0004-0000-0000-000009000000}"/>
    <hyperlink ref="H62969" r:id="rId11" display="https://www.aavso.org/ejaavso" xr:uid="{00000000-0004-0000-0000-00000A000000}"/>
    <hyperlink ref="H63638" r:id="rId12" display="http://vsolj.cetus-net.org/bulletin.html" xr:uid="{00000000-0004-0000-0000-00000B000000}"/>
    <hyperlink ref="H63631" r:id="rId13" display="https://www.aavso.org/ejaavso" xr:uid="{00000000-0004-0000-0000-00000C000000}"/>
    <hyperlink ref="I63638" r:id="rId14" display="http://vsolj.cetus-net.org/bulletin.html" xr:uid="{00000000-0004-0000-0000-00000D000000}"/>
    <hyperlink ref="AQ57289" r:id="rId15" display="http://cdsbib.u-strasbg.fr/cgi-bin/cdsbib?1990RMxAA..21..381G" xr:uid="{00000000-0004-0000-0000-00000E000000}"/>
    <hyperlink ref="H63635" r:id="rId16" display="https://www.aavso.org/ejaavso" xr:uid="{00000000-0004-0000-0000-00000F000000}"/>
    <hyperlink ref="AP4653" r:id="rId17" display="http://cdsbib.u-strasbg.fr/cgi-bin/cdsbib?1990RMxAA..21..381G" xr:uid="{00000000-0004-0000-0000-000010000000}"/>
    <hyperlink ref="AP4656" r:id="rId18" display="http://cdsbib.u-strasbg.fr/cgi-bin/cdsbib?1990RMxAA..21..381G" xr:uid="{00000000-0004-0000-0000-000011000000}"/>
    <hyperlink ref="AP4654" r:id="rId19" display="http://cdsbib.u-strasbg.fr/cgi-bin/cdsbib?1990RMxAA..21..381G" xr:uid="{00000000-0004-0000-0000-000012000000}"/>
    <hyperlink ref="AP4638" r:id="rId20" display="http://cdsbib.u-strasbg.fr/cgi-bin/cdsbib?1990RMxAA..21..381G" xr:uid="{00000000-0004-0000-0000-000013000000}"/>
    <hyperlink ref="AQ4867" r:id="rId21" display="http://cdsbib.u-strasbg.fr/cgi-bin/cdsbib?1990RMxAA..21..381G" xr:uid="{00000000-0004-0000-0000-000014000000}"/>
    <hyperlink ref="AQ4871" r:id="rId22" display="http://cdsbib.u-strasbg.fr/cgi-bin/cdsbib?1990RMxAA..21..381G" xr:uid="{00000000-0004-0000-0000-000015000000}"/>
    <hyperlink ref="AQ64551" r:id="rId23" display="http://cdsbib.u-strasbg.fr/cgi-bin/cdsbib?1990RMxAA..21..381G" xr:uid="{00000000-0004-0000-0000-000016000000}"/>
    <hyperlink ref="I1759" r:id="rId24" display="http://vsolj.cetus-net.org/bulletin.html" xr:uid="{00000000-0004-0000-0000-000017000000}"/>
    <hyperlink ref="H1759" r:id="rId25" display="http://vsolj.cetus-net.org/bulletin.html" xr:uid="{00000000-0004-0000-0000-000018000000}"/>
    <hyperlink ref="AQ65212" r:id="rId26" display="http://cdsbib.u-strasbg.fr/cgi-bin/cdsbib?1990RMxAA..21..381G" xr:uid="{00000000-0004-0000-0000-000019000000}"/>
    <hyperlink ref="AQ65211" r:id="rId27" display="http://cdsbib.u-strasbg.fr/cgi-bin/cdsbib?1990RMxAA..21..381G" xr:uid="{00000000-0004-0000-0000-00001A000000}"/>
    <hyperlink ref="AP2929" r:id="rId28" display="http://cdsbib.u-strasbg.fr/cgi-bin/cdsbib?1990RMxAA..21..381G" xr:uid="{00000000-0004-0000-0000-00001B000000}"/>
    <hyperlink ref="AP2947" r:id="rId29" display="http://cdsbib.u-strasbg.fr/cgi-bin/cdsbib?1990RMxAA..21..381G" xr:uid="{00000000-0004-0000-0000-00001C000000}"/>
    <hyperlink ref="AP2948" r:id="rId30" display="http://cdsbib.u-strasbg.fr/cgi-bin/cdsbib?1990RMxAA..21..381G" xr:uid="{00000000-0004-0000-0000-00001D000000}"/>
    <hyperlink ref="AP2944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W60"/>
  <sheetViews>
    <sheetView workbookViewId="0">
      <pane xSplit="13" ySplit="21" topLeftCell="N36" activePane="bottomRight" state="frozen"/>
      <selection pane="topRight" activeCell="N1" sqref="N1"/>
      <selection pane="bottomLeft" activeCell="A22" sqref="A22"/>
      <selection pane="bottomRight" activeCell="M64" sqref="M6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5.140625" customWidth="1"/>
    <col min="4" max="4" width="9.42578125" customWidth="1"/>
    <col min="5" max="5" width="12.285156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42578125" customWidth="1"/>
  </cols>
  <sheetData>
    <row r="1" spans="1:23" ht="21" thickBot="1" x14ac:dyDescent="0.35">
      <c r="A1" s="1" t="s">
        <v>31</v>
      </c>
      <c r="V1" s="4" t="s">
        <v>13</v>
      </c>
      <c r="W1" s="6" t="s">
        <v>25</v>
      </c>
    </row>
    <row r="2" spans="1:23" x14ac:dyDescent="0.2">
      <c r="A2" t="s">
        <v>27</v>
      </c>
      <c r="B2" t="s">
        <v>32</v>
      </c>
      <c r="C2" s="3"/>
      <c r="D2" s="37" t="s">
        <v>50</v>
      </c>
      <c r="V2" s="59">
        <v>0</v>
      </c>
      <c r="W2" s="59">
        <f t="shared" ref="W2:W17" si="0">+D$11+D$12*V2+D$13*V2^2</f>
        <v>-0.45401317143617431</v>
      </c>
    </row>
    <row r="3" spans="1:23" ht="13.5" thickBot="1" x14ac:dyDescent="0.25">
      <c r="A3" s="61" t="s">
        <v>71</v>
      </c>
      <c r="V3" s="59">
        <v>5000</v>
      </c>
      <c r="W3" s="59">
        <f t="shared" si="0"/>
        <v>-0.40689572665201351</v>
      </c>
    </row>
    <row r="4" spans="1:23" ht="14.25" thickTop="1" thickBot="1" x14ac:dyDescent="0.25">
      <c r="A4" s="5" t="s">
        <v>3</v>
      </c>
      <c r="C4" s="8">
        <v>24161.971099999999</v>
      </c>
      <c r="D4" s="9">
        <v>0.44570100000000001</v>
      </c>
      <c r="V4" s="59">
        <v>10000</v>
      </c>
      <c r="W4" s="59">
        <f t="shared" si="0"/>
        <v>-0.36241974389079584</v>
      </c>
    </row>
    <row r="5" spans="1:23" ht="13.5" thickTop="1" x14ac:dyDescent="0.2">
      <c r="A5" s="13" t="s">
        <v>36</v>
      </c>
      <c r="B5" s="14"/>
      <c r="C5" s="15">
        <v>-9.5</v>
      </c>
      <c r="D5" s="14" t="s">
        <v>37</v>
      </c>
      <c r="E5" s="14"/>
      <c r="V5" s="59">
        <v>15000</v>
      </c>
      <c r="W5" s="59">
        <f t="shared" si="0"/>
        <v>-0.32058522315252141</v>
      </c>
    </row>
    <row r="6" spans="1:23" x14ac:dyDescent="0.2">
      <c r="A6" s="5" t="s">
        <v>4</v>
      </c>
      <c r="V6" s="59">
        <v>20000</v>
      </c>
      <c r="W6" s="59">
        <f t="shared" si="0"/>
        <v>-0.28139216443719023</v>
      </c>
    </row>
    <row r="7" spans="1:23" x14ac:dyDescent="0.2">
      <c r="A7" t="s">
        <v>5</v>
      </c>
      <c r="C7">
        <v>24161.971099999999</v>
      </c>
      <c r="V7" s="59">
        <v>25000</v>
      </c>
      <c r="W7" s="59">
        <f t="shared" si="0"/>
        <v>-0.2448405677448022</v>
      </c>
    </row>
    <row r="8" spans="1:23" x14ac:dyDescent="0.2">
      <c r="A8" t="s">
        <v>6</v>
      </c>
      <c r="C8">
        <v>0.44566594857405373</v>
      </c>
      <c r="V8" s="59">
        <v>30000</v>
      </c>
      <c r="W8" s="59">
        <f t="shared" si="0"/>
        <v>-0.21093043307535744</v>
      </c>
    </row>
    <row r="9" spans="1:23" x14ac:dyDescent="0.2">
      <c r="A9" s="29" t="s">
        <v>43</v>
      </c>
      <c r="B9" s="30">
        <v>34</v>
      </c>
      <c r="C9" s="17" t="str">
        <f>"F"&amp;B9</f>
        <v>F34</v>
      </c>
      <c r="D9" s="18" t="str">
        <f>"G"&amp;B9</f>
        <v>G34</v>
      </c>
      <c r="V9" s="59">
        <v>35000</v>
      </c>
      <c r="W9" s="59">
        <f t="shared" si="0"/>
        <v>-0.17966176042885584</v>
      </c>
    </row>
    <row r="10" spans="1:23" ht="13.5" thickBot="1" x14ac:dyDescent="0.25">
      <c r="A10" s="14"/>
      <c r="B10" s="14"/>
      <c r="C10" s="4" t="s">
        <v>23</v>
      </c>
      <c r="D10" s="4" t="s">
        <v>24</v>
      </c>
      <c r="E10" s="14"/>
      <c r="V10" s="59">
        <v>40000</v>
      </c>
      <c r="W10" s="59">
        <f t="shared" si="0"/>
        <v>-0.15103454980529751</v>
      </c>
    </row>
    <row r="11" spans="1:23" x14ac:dyDescent="0.2">
      <c r="A11" s="14" t="s">
        <v>19</v>
      </c>
      <c r="B11" s="14"/>
      <c r="C11" s="16">
        <f ca="1">INTERCEPT(INDIRECT($D$9):G992,INDIRECT($C$9):F992)</f>
        <v>6.5760609508822815E-2</v>
      </c>
      <c r="D11" s="3">
        <f>+E11*F11</f>
        <v>-0.45401317143617431</v>
      </c>
      <c r="E11" s="47">
        <v>-0.45401317143617431</v>
      </c>
      <c r="F11">
        <v>1</v>
      </c>
      <c r="V11" s="59">
        <v>45000</v>
      </c>
      <c r="W11" s="59">
        <f t="shared" si="0"/>
        <v>-0.12504880120468237</v>
      </c>
    </row>
    <row r="12" spans="1:23" x14ac:dyDescent="0.2">
      <c r="A12" s="14" t="s">
        <v>20</v>
      </c>
      <c r="B12" s="14"/>
      <c r="C12" s="16">
        <f ca="1">SLOPE(INDIRECT($D$9):G992,INDIRECT($C$9):F992)</f>
        <v>-1.8645544393331947E-6</v>
      </c>
      <c r="D12" s="3">
        <f>+E12*F12</f>
        <v>9.6876351591264904E-6</v>
      </c>
      <c r="E12" s="48">
        <v>9.6876351591264898E-2</v>
      </c>
      <c r="F12" s="49">
        <v>1E-4</v>
      </c>
      <c r="V12" s="59">
        <v>50000</v>
      </c>
      <c r="W12" s="59">
        <f t="shared" si="0"/>
        <v>-0.10170451462701041</v>
      </c>
    </row>
    <row r="13" spans="1:23" ht="13.5" thickBot="1" x14ac:dyDescent="0.25">
      <c r="A13" s="14" t="s">
        <v>22</v>
      </c>
      <c r="B13" s="14"/>
      <c r="C13" s="3" t="s">
        <v>17</v>
      </c>
      <c r="D13" s="3">
        <f>+E13*F13</f>
        <v>-5.2829240458864254E-11</v>
      </c>
      <c r="E13" s="50">
        <v>-5.2829240458864253E-3</v>
      </c>
      <c r="F13" s="49">
        <v>1E-8</v>
      </c>
      <c r="V13" s="59">
        <v>55000</v>
      </c>
      <c r="W13" s="59">
        <f t="shared" si="0"/>
        <v>-8.1001690072281668E-2</v>
      </c>
    </row>
    <row r="14" spans="1:23" x14ac:dyDescent="0.2">
      <c r="A14" s="14"/>
      <c r="B14" s="14"/>
      <c r="C14" s="14"/>
      <c r="E14">
        <f>SUM(T21:T950)</f>
        <v>0.12261595818489268</v>
      </c>
      <c r="V14" s="59">
        <v>60000</v>
      </c>
      <c r="W14" s="59">
        <f t="shared" si="0"/>
        <v>-6.2940327540496249E-2</v>
      </c>
    </row>
    <row r="15" spans="1:23" x14ac:dyDescent="0.2">
      <c r="A15" s="19" t="s">
        <v>21</v>
      </c>
      <c r="B15" s="14"/>
      <c r="C15" s="20">
        <f ca="1">(C7+C11)+(C8+C12)*INT(MAX(F21:F3533))</f>
        <v>60113.758518471797</v>
      </c>
      <c r="D15" s="18">
        <f>+C7+INT(MAX(F21:F1588))*C8+D11+D12*INT(MAX(F21:F4023))+D13*INT(MAX(F21:F4050)^2)</f>
        <v>60113.826861415459</v>
      </c>
      <c r="E15" s="21" t="s">
        <v>48</v>
      </c>
      <c r="F15" s="15">
        <v>1</v>
      </c>
      <c r="V15" s="59">
        <v>65000</v>
      </c>
      <c r="W15" s="59">
        <f t="shared" si="0"/>
        <v>-4.7520427031653933E-2</v>
      </c>
    </row>
    <row r="16" spans="1:23" x14ac:dyDescent="0.2">
      <c r="A16" s="23" t="s">
        <v>7</v>
      </c>
      <c r="B16" s="14"/>
      <c r="C16" s="24">
        <f ca="1">+C8+C12</f>
        <v>0.44566408401961438</v>
      </c>
      <c r="D16" s="18">
        <f>+C8+D12+2*D13*MAX(F21:F896)</f>
        <v>0.44566711268672798</v>
      </c>
      <c r="E16" s="21" t="s">
        <v>38</v>
      </c>
      <c r="F16" s="22">
        <f ca="1">NOW()+15018.5+$C$5/24</f>
        <v>60325.782836574072</v>
      </c>
      <c r="V16" s="59">
        <v>70000</v>
      </c>
      <c r="W16" s="59">
        <f t="shared" si="0"/>
        <v>-3.4741988545754832E-2</v>
      </c>
    </row>
    <row r="17" spans="1:23" ht="13.5" thickBot="1" x14ac:dyDescent="0.25">
      <c r="A17" s="21" t="s">
        <v>40</v>
      </c>
      <c r="B17" s="14"/>
      <c r="C17" s="14">
        <f>COUNT(C21:C2191)</f>
        <v>40</v>
      </c>
      <c r="E17" s="21" t="s">
        <v>49</v>
      </c>
      <c r="F17" s="22">
        <f ca="1">ROUND(2*(F16-$C$7)/$C$8,0)/2+F15</f>
        <v>81146.5</v>
      </c>
      <c r="V17" s="59">
        <v>75000</v>
      </c>
      <c r="W17" s="59">
        <f t="shared" si="0"/>
        <v>-2.4605012082798916E-2</v>
      </c>
    </row>
    <row r="18" spans="1:23" ht="14.25" thickTop="1" thickBot="1" x14ac:dyDescent="0.25">
      <c r="A18" s="5" t="s">
        <v>65</v>
      </c>
      <c r="C18" s="51">
        <f ca="1">+C15</f>
        <v>60113.758518471797</v>
      </c>
      <c r="D18" s="52">
        <f ca="1">C16</f>
        <v>0.44566408401961438</v>
      </c>
      <c r="E18" s="21" t="s">
        <v>39</v>
      </c>
      <c r="F18" s="18">
        <f ca="1">ROUND(2*(F16-$C$15)/$C$16,0)/2+F15</f>
        <v>476.5</v>
      </c>
    </row>
    <row r="19" spans="1:23" ht="13.5" thickBot="1" x14ac:dyDescent="0.25">
      <c r="A19" s="5" t="s">
        <v>66</v>
      </c>
      <c r="C19" s="53">
        <f>+D15</f>
        <v>60113.826861415459</v>
      </c>
      <c r="D19" s="54">
        <f>+D16</f>
        <v>0.44566711268672798</v>
      </c>
      <c r="E19" s="21" t="s">
        <v>41</v>
      </c>
      <c r="F19" s="25">
        <f ca="1">+$C$15+$C$16*F18-15018.5-$C$5/24</f>
        <v>45308.013287840477</v>
      </c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63</v>
      </c>
      <c r="J20" s="7" t="s">
        <v>62</v>
      </c>
      <c r="K20" s="7" t="s">
        <v>46</v>
      </c>
      <c r="L20" s="7" t="s">
        <v>79</v>
      </c>
      <c r="M20" s="7" t="s">
        <v>29</v>
      </c>
      <c r="N20" s="7" t="s">
        <v>30</v>
      </c>
      <c r="O20" s="7" t="s">
        <v>26</v>
      </c>
      <c r="P20" s="55" t="s">
        <v>25</v>
      </c>
      <c r="Q20" s="4" t="s">
        <v>18</v>
      </c>
      <c r="R20" s="7" t="s">
        <v>67</v>
      </c>
      <c r="S20" s="6" t="s">
        <v>68</v>
      </c>
      <c r="T20" s="7" t="s">
        <v>69</v>
      </c>
      <c r="U20" s="56" t="s">
        <v>70</v>
      </c>
    </row>
    <row r="21" spans="1:23" x14ac:dyDescent="0.2">
      <c r="A21" t="s">
        <v>15</v>
      </c>
      <c r="B21" s="3"/>
      <c r="C21" s="12">
        <f>+C4</f>
        <v>24161.971099999999</v>
      </c>
      <c r="D21" s="12" t="s">
        <v>17</v>
      </c>
      <c r="E21">
        <v>1</v>
      </c>
      <c r="F21">
        <f>ROUND(2*E21,0)/2</f>
        <v>1</v>
      </c>
      <c r="G21">
        <f t="shared" ref="G21:G60" si="1">+C21-(C$7+F21*C$8)</f>
        <v>-0.44566594857315067</v>
      </c>
      <c r="H21">
        <f>G21</f>
        <v>-0.44566594857315067</v>
      </c>
      <c r="O21">
        <f t="shared" ref="O21:O60" ca="1" si="2">+C$11+C$12*$F21</f>
        <v>6.5758744954383483E-2</v>
      </c>
      <c r="P21" s="57">
        <f t="shared" ref="P21:P60" si="3">+D$11+D$12*F21+D$13*F21^2</f>
        <v>-0.45400348385384443</v>
      </c>
      <c r="Q21" s="58">
        <f t="shared" ref="Q21:Q60" si="4">+C21-15018.5</f>
        <v>9143.4710999999988</v>
      </c>
      <c r="R21" s="59">
        <f t="shared" ref="R21:R60" si="5">+(P21-G21)^2</f>
        <v>6.9514494556813063E-5</v>
      </c>
      <c r="S21" s="59">
        <v>1</v>
      </c>
      <c r="T21" s="59">
        <f t="shared" ref="T21:T60" si="6">+S21*R21</f>
        <v>6.9514494556813063E-5</v>
      </c>
      <c r="U21" s="60"/>
    </row>
    <row r="22" spans="1:23" x14ac:dyDescent="0.2">
      <c r="A22" s="66" t="s">
        <v>0</v>
      </c>
      <c r="B22" s="67" t="s">
        <v>34</v>
      </c>
      <c r="C22" s="66">
        <v>42207.925000000003</v>
      </c>
      <c r="D22" s="66">
        <v>2E-3</v>
      </c>
      <c r="E22">
        <f t="shared" ref="E22:E60" si="7">+(C22-C$7)/C$8</f>
        <v>40492.108400337907</v>
      </c>
      <c r="F22">
        <f>ROUND(2*E22,0)/2</f>
        <v>40492</v>
      </c>
      <c r="G22">
        <f t="shared" si="1"/>
        <v>4.8310339421732351E-2</v>
      </c>
      <c r="K22">
        <f t="shared" ref="K22:K60" si="8">+G22</f>
        <v>4.8310339421732351E-2</v>
      </c>
      <c r="O22">
        <f t="shared" ca="1" si="2"/>
        <v>-9.7389288486569026E-3</v>
      </c>
      <c r="P22" s="57">
        <f t="shared" si="3"/>
        <v>-0.14836038026873061</v>
      </c>
      <c r="Q22" s="2">
        <f t="shared" si="4"/>
        <v>27189.425000000003</v>
      </c>
      <c r="R22" s="59">
        <f t="shared" si="5"/>
        <v>3.8679371983564657E-2</v>
      </c>
      <c r="S22" s="59">
        <v>1</v>
      </c>
      <c r="T22" s="59">
        <f t="shared" si="6"/>
        <v>3.8679371983564657E-2</v>
      </c>
    </row>
    <row r="23" spans="1:23" x14ac:dyDescent="0.2">
      <c r="A23" s="38" t="s">
        <v>47</v>
      </c>
      <c r="B23" s="39" t="s">
        <v>35</v>
      </c>
      <c r="C23" s="40">
        <v>45089.3963</v>
      </c>
      <c r="D23" s="12" t="s">
        <v>45</v>
      </c>
      <c r="E23">
        <f t="shared" si="7"/>
        <v>46957.649035020702</v>
      </c>
      <c r="F23" s="31">
        <f>ROUND(2*E23,0)/2+0.5</f>
        <v>46958</v>
      </c>
      <c r="G23">
        <f t="shared" si="1"/>
        <v>-0.15641314040840371</v>
      </c>
      <c r="K23">
        <f t="shared" si="8"/>
        <v>-0.15641314040840371</v>
      </c>
      <c r="O23">
        <f t="shared" ca="1" si="2"/>
        <v>-2.1795137853385341E-2</v>
      </c>
      <c r="P23" s="57">
        <f t="shared" si="3"/>
        <v>-0.1155925151569923</v>
      </c>
      <c r="Q23" s="2">
        <f t="shared" si="4"/>
        <v>30070.8963</v>
      </c>
      <c r="R23" s="59">
        <f t="shared" si="5"/>
        <v>1.6663234459161663E-3</v>
      </c>
      <c r="S23" s="59">
        <v>1</v>
      </c>
      <c r="T23" s="59">
        <f t="shared" si="6"/>
        <v>1.6663234459161663E-3</v>
      </c>
    </row>
    <row r="24" spans="1:23" x14ac:dyDescent="0.2">
      <c r="A24" s="38" t="s">
        <v>47</v>
      </c>
      <c r="B24" s="39" t="s">
        <v>34</v>
      </c>
      <c r="C24" s="40">
        <v>45091.402000000002</v>
      </c>
      <c r="D24" s="12" t="s">
        <v>45</v>
      </c>
      <c r="E24">
        <f t="shared" si="7"/>
        <v>46962.149491038086</v>
      </c>
      <c r="F24" s="31">
        <f>ROUND(2*E24,0)/2+0.5</f>
        <v>46962.5</v>
      </c>
      <c r="G24">
        <f t="shared" si="1"/>
        <v>-0.15620990899333265</v>
      </c>
      <c r="K24">
        <f t="shared" si="8"/>
        <v>-0.15620990899333265</v>
      </c>
      <c r="O24">
        <f t="shared" ca="1" si="2"/>
        <v>-2.1803528348362342E-2</v>
      </c>
      <c r="P24" s="57">
        <f t="shared" si="3"/>
        <v>-0.11557124866782957</v>
      </c>
      <c r="Q24" s="2">
        <f t="shared" si="4"/>
        <v>30072.902000000002</v>
      </c>
      <c r="R24" s="59">
        <f t="shared" si="5"/>
        <v>1.6515007130516177E-3</v>
      </c>
      <c r="S24" s="59">
        <v>1</v>
      </c>
      <c r="T24" s="59">
        <f t="shared" si="6"/>
        <v>1.6515007130516177E-3</v>
      </c>
    </row>
    <row r="25" spans="1:23" x14ac:dyDescent="0.2">
      <c r="A25" s="38" t="s">
        <v>47</v>
      </c>
      <c r="B25" s="39" t="s">
        <v>35</v>
      </c>
      <c r="C25" s="40">
        <v>45789.558700000001</v>
      </c>
      <c r="D25" s="12" t="s">
        <v>45</v>
      </c>
      <c r="E25">
        <f t="shared" si="7"/>
        <v>48528.696592592089</v>
      </c>
      <c r="F25" s="31">
        <f>ROUND(2*E25,0)/2+0.5</f>
        <v>48529</v>
      </c>
      <c r="G25">
        <f t="shared" si="1"/>
        <v>-0.13521835025312612</v>
      </c>
      <c r="K25">
        <f t="shared" si="8"/>
        <v>-0.13521835025312612</v>
      </c>
      <c r="O25">
        <f t="shared" ca="1" si="2"/>
        <v>-2.4724352877577793E-2</v>
      </c>
      <c r="P25" s="57">
        <f t="shared" si="3"/>
        <v>-0.10829815875109029</v>
      </c>
      <c r="Q25" s="2">
        <f t="shared" si="4"/>
        <v>30771.058700000001</v>
      </c>
      <c r="R25" s="59">
        <f t="shared" si="5"/>
        <v>7.2469671050628189E-4</v>
      </c>
      <c r="S25" s="59">
        <v>1</v>
      </c>
      <c r="T25" s="59">
        <f t="shared" si="6"/>
        <v>7.2469671050628189E-4</v>
      </c>
    </row>
    <row r="26" spans="1:23" x14ac:dyDescent="0.2">
      <c r="A26" t="s">
        <v>56</v>
      </c>
      <c r="B26" s="3" t="s">
        <v>34</v>
      </c>
      <c r="C26" s="12">
        <v>50563.845300000001</v>
      </c>
      <c r="D26" s="12" t="s">
        <v>62</v>
      </c>
      <c r="E26">
        <f t="shared" si="7"/>
        <v>59241.398820069277</v>
      </c>
      <c r="F26">
        <f t="shared" ref="F26:F60" si="9">ROUND(2*E26,0)/2</f>
        <v>59241.5</v>
      </c>
      <c r="G26">
        <f t="shared" si="1"/>
        <v>-4.5092449799994938E-2</v>
      </c>
      <c r="K26">
        <f t="shared" si="8"/>
        <v>-4.5092449799994938E-2</v>
      </c>
      <c r="O26">
        <f t="shared" ca="1" si="2"/>
        <v>-4.4698392308934645E-2</v>
      </c>
      <c r="P26" s="57">
        <f t="shared" si="3"/>
        <v>-6.5510275179614358E-2</v>
      </c>
      <c r="Q26" s="2">
        <f t="shared" si="4"/>
        <v>35545.345300000001</v>
      </c>
      <c r="R26" s="59">
        <f t="shared" si="5"/>
        <v>4.1688759323263089E-4</v>
      </c>
      <c r="S26" s="59">
        <v>1</v>
      </c>
      <c r="T26" s="59">
        <f t="shared" si="6"/>
        <v>4.1688759323263089E-4</v>
      </c>
    </row>
    <row r="27" spans="1:23" x14ac:dyDescent="0.2">
      <c r="A27" s="32" t="s">
        <v>33</v>
      </c>
      <c r="B27" s="34" t="s">
        <v>34</v>
      </c>
      <c r="C27" s="32">
        <v>50563.845300000161</v>
      </c>
      <c r="D27" s="10">
        <v>8.9999999999999998E-4</v>
      </c>
      <c r="E27">
        <f t="shared" si="7"/>
        <v>59241.39882006964</v>
      </c>
      <c r="F27">
        <f t="shared" si="9"/>
        <v>59241.5</v>
      </c>
      <c r="G27">
        <f t="shared" si="1"/>
        <v>-4.5092449639923871E-2</v>
      </c>
      <c r="K27">
        <f t="shared" si="8"/>
        <v>-4.5092449639923871E-2</v>
      </c>
      <c r="O27">
        <f t="shared" ca="1" si="2"/>
        <v>-4.4698392308934645E-2</v>
      </c>
      <c r="P27" s="57">
        <f t="shared" si="3"/>
        <v>-6.5510275179614358E-2</v>
      </c>
      <c r="Q27" s="2">
        <f t="shared" si="4"/>
        <v>35545.345300000161</v>
      </c>
      <c r="R27" s="59">
        <f t="shared" si="5"/>
        <v>4.1688759976923716E-4</v>
      </c>
      <c r="S27" s="59">
        <v>1</v>
      </c>
      <c r="T27" s="59">
        <f t="shared" si="6"/>
        <v>4.1688759976923716E-4</v>
      </c>
    </row>
    <row r="28" spans="1:23" x14ac:dyDescent="0.2">
      <c r="A28" s="32" t="s">
        <v>33</v>
      </c>
      <c r="B28" s="34" t="s">
        <v>35</v>
      </c>
      <c r="C28" s="32">
        <v>50564.064699999988</v>
      </c>
      <c r="D28" s="10">
        <v>1E-3</v>
      </c>
      <c r="E28">
        <f t="shared" si="7"/>
        <v>59241.89111704797</v>
      </c>
      <c r="F28">
        <f t="shared" si="9"/>
        <v>59242</v>
      </c>
      <c r="G28">
        <f t="shared" si="1"/>
        <v>-4.8525424106628634E-2</v>
      </c>
      <c r="K28">
        <f t="shared" si="8"/>
        <v>-4.8525424106628634E-2</v>
      </c>
      <c r="O28">
        <f t="shared" ca="1" si="2"/>
        <v>-4.4699324586154304E-2</v>
      </c>
      <c r="P28" s="57">
        <f t="shared" si="3"/>
        <v>-6.5508561058690851E-2</v>
      </c>
      <c r="Q28" s="2">
        <f t="shared" si="4"/>
        <v>35545.564699999988</v>
      </c>
      <c r="R28" s="59">
        <f t="shared" si="5"/>
        <v>2.8842694073250111E-4</v>
      </c>
      <c r="S28" s="59">
        <v>1</v>
      </c>
      <c r="T28" s="59">
        <f t="shared" si="6"/>
        <v>2.8842694073250111E-4</v>
      </c>
    </row>
    <row r="29" spans="1:23" x14ac:dyDescent="0.2">
      <c r="A29" s="69" t="s">
        <v>56</v>
      </c>
      <c r="B29" s="35" t="s">
        <v>35</v>
      </c>
      <c r="C29" s="36">
        <v>50564.064700000003</v>
      </c>
      <c r="D29" s="12" t="s">
        <v>62</v>
      </c>
      <c r="E29">
        <f t="shared" si="7"/>
        <v>59241.891117047999</v>
      </c>
      <c r="F29">
        <f t="shared" si="9"/>
        <v>59242</v>
      </c>
      <c r="G29">
        <f t="shared" si="1"/>
        <v>-4.8525424092076719E-2</v>
      </c>
      <c r="K29">
        <f t="shared" si="8"/>
        <v>-4.8525424092076719E-2</v>
      </c>
      <c r="O29">
        <f t="shared" ca="1" si="2"/>
        <v>-4.4699324586154304E-2</v>
      </c>
      <c r="P29" s="57">
        <f t="shared" si="3"/>
        <v>-6.5508561058690851E-2</v>
      </c>
      <c r="Q29" s="2">
        <f t="shared" si="4"/>
        <v>35545.564700000003</v>
      </c>
      <c r="R29" s="59">
        <f t="shared" si="5"/>
        <v>2.8842694122677544E-4</v>
      </c>
      <c r="S29" s="59">
        <v>1</v>
      </c>
      <c r="T29" s="59">
        <f t="shared" si="6"/>
        <v>2.8842694122677544E-4</v>
      </c>
    </row>
    <row r="30" spans="1:23" x14ac:dyDescent="0.2">
      <c r="A30" s="33" t="s">
        <v>44</v>
      </c>
      <c r="B30" s="35" t="s">
        <v>35</v>
      </c>
      <c r="C30" s="36">
        <v>50653.845300000001</v>
      </c>
      <c r="D30" s="12" t="s">
        <v>46</v>
      </c>
      <c r="E30">
        <f t="shared" si="7"/>
        <v>59443.343797665082</v>
      </c>
      <c r="F30">
        <f t="shared" si="9"/>
        <v>59443.5</v>
      </c>
      <c r="G30">
        <f t="shared" si="1"/>
        <v>-6.9614061765605584E-2</v>
      </c>
      <c r="K30">
        <f t="shared" si="8"/>
        <v>-6.9614061765605584E-2</v>
      </c>
      <c r="O30">
        <f t="shared" ca="1" si="2"/>
        <v>-4.5075032305679941E-2</v>
      </c>
      <c r="P30" s="57">
        <f t="shared" si="3"/>
        <v>-6.4819920635050626E-2</v>
      </c>
      <c r="Q30" s="2">
        <f t="shared" si="4"/>
        <v>35635.345300000001</v>
      </c>
      <c r="R30" s="59">
        <f t="shared" si="5"/>
        <v>2.2983789179678766E-5</v>
      </c>
      <c r="S30" s="59">
        <v>1</v>
      </c>
      <c r="T30" s="59">
        <f t="shared" si="6"/>
        <v>2.2983789179678766E-5</v>
      </c>
    </row>
    <row r="31" spans="1:23" x14ac:dyDescent="0.2">
      <c r="A31" s="69" t="s">
        <v>56</v>
      </c>
      <c r="B31" s="35" t="s">
        <v>34</v>
      </c>
      <c r="C31" s="36">
        <v>51267.549599999998</v>
      </c>
      <c r="D31" s="12" t="s">
        <v>62</v>
      </c>
      <c r="E31">
        <f t="shared" si="7"/>
        <v>60820.393810042282</v>
      </c>
      <c r="F31">
        <f t="shared" si="9"/>
        <v>60820.5</v>
      </c>
      <c r="G31">
        <f t="shared" si="1"/>
        <v>-4.7325248233391903E-2</v>
      </c>
      <c r="K31">
        <f t="shared" si="8"/>
        <v>-4.7325248233391903E-2</v>
      </c>
      <c r="O31">
        <f t="shared" ca="1" si="2"/>
        <v>-4.7642523768641754E-2</v>
      </c>
      <c r="P31" s="57">
        <f t="shared" si="3"/>
        <v>-6.0228755622481756E-2</v>
      </c>
      <c r="Q31" s="2">
        <f t="shared" si="4"/>
        <v>36249.049599999998</v>
      </c>
      <c r="R31" s="59">
        <f t="shared" si="5"/>
        <v>1.6650050294029641E-4</v>
      </c>
      <c r="S31" s="59">
        <v>1</v>
      </c>
      <c r="T31" s="59">
        <f t="shared" si="6"/>
        <v>1.6650050294029641E-4</v>
      </c>
    </row>
    <row r="32" spans="1:23" x14ac:dyDescent="0.2">
      <c r="A32" s="10" t="s">
        <v>33</v>
      </c>
      <c r="B32" s="11" t="s">
        <v>34</v>
      </c>
      <c r="C32" s="10">
        <v>51267.549600000028</v>
      </c>
      <c r="D32" s="10">
        <v>5.9999999999999995E-4</v>
      </c>
      <c r="E32">
        <f t="shared" si="7"/>
        <v>60820.393810042347</v>
      </c>
      <c r="F32">
        <f t="shared" si="9"/>
        <v>60820.5</v>
      </c>
      <c r="G32">
        <f t="shared" si="1"/>
        <v>-4.7325248204288073E-2</v>
      </c>
      <c r="K32">
        <f t="shared" si="8"/>
        <v>-4.7325248204288073E-2</v>
      </c>
      <c r="O32">
        <f t="shared" ca="1" si="2"/>
        <v>-4.7642523768641754E-2</v>
      </c>
      <c r="P32" s="57">
        <f t="shared" si="3"/>
        <v>-6.0228755622481756E-2</v>
      </c>
      <c r="Q32" s="2">
        <f t="shared" si="4"/>
        <v>36249.049600000028</v>
      </c>
      <c r="R32" s="59">
        <f t="shared" si="5"/>
        <v>1.6650050369137939E-4</v>
      </c>
      <c r="S32" s="59">
        <v>1</v>
      </c>
      <c r="T32" s="59">
        <f t="shared" si="6"/>
        <v>1.6650050369137939E-4</v>
      </c>
    </row>
    <row r="33" spans="1:23" x14ac:dyDescent="0.2">
      <c r="A33" s="10" t="s">
        <v>33</v>
      </c>
      <c r="B33" s="11" t="s">
        <v>35</v>
      </c>
      <c r="C33" s="10">
        <v>51267.771999999881</v>
      </c>
      <c r="D33" s="10">
        <v>6.9999999999999999E-4</v>
      </c>
      <c r="E33">
        <f t="shared" si="7"/>
        <v>60820.892838519991</v>
      </c>
      <c r="F33">
        <f t="shared" si="9"/>
        <v>60821</v>
      </c>
      <c r="G33">
        <f t="shared" si="1"/>
        <v>-4.7758222644915804E-2</v>
      </c>
      <c r="K33">
        <f t="shared" si="8"/>
        <v>-4.7758222644915804E-2</v>
      </c>
      <c r="O33">
        <f t="shared" ca="1" si="2"/>
        <v>-4.7643456045861426E-2</v>
      </c>
      <c r="P33" s="57">
        <f t="shared" si="3"/>
        <v>-6.0227124918928787E-2</v>
      </c>
      <c r="Q33" s="2">
        <f t="shared" si="4"/>
        <v>36249.271999999881</v>
      </c>
      <c r="R33" s="59">
        <f t="shared" si="5"/>
        <v>1.5547352391888613E-4</v>
      </c>
      <c r="S33" s="59">
        <v>1</v>
      </c>
      <c r="T33" s="59">
        <f t="shared" si="6"/>
        <v>1.5547352391888613E-4</v>
      </c>
    </row>
    <row r="34" spans="1:23" x14ac:dyDescent="0.2">
      <c r="A34" t="s">
        <v>56</v>
      </c>
      <c r="B34" s="3" t="s">
        <v>35</v>
      </c>
      <c r="C34" s="12">
        <v>51267.771999999997</v>
      </c>
      <c r="D34" s="12" t="s">
        <v>62</v>
      </c>
      <c r="E34">
        <f t="shared" si="7"/>
        <v>60820.892838520253</v>
      </c>
      <c r="F34">
        <f t="shared" si="9"/>
        <v>60821</v>
      </c>
      <c r="G34">
        <f t="shared" si="1"/>
        <v>-4.7758222528500482E-2</v>
      </c>
      <c r="K34">
        <f t="shared" si="8"/>
        <v>-4.7758222528500482E-2</v>
      </c>
      <c r="O34">
        <f t="shared" ca="1" si="2"/>
        <v>-4.7643456045861426E-2</v>
      </c>
      <c r="P34" s="57">
        <f t="shared" si="3"/>
        <v>-6.0227124918928787E-2</v>
      </c>
      <c r="Q34" s="2">
        <f t="shared" si="4"/>
        <v>36249.271999999997</v>
      </c>
      <c r="R34" s="59">
        <f t="shared" si="5"/>
        <v>1.554735268220287E-4</v>
      </c>
      <c r="S34" s="59">
        <v>1</v>
      </c>
      <c r="T34" s="59">
        <f t="shared" si="6"/>
        <v>1.554735268220287E-4</v>
      </c>
    </row>
    <row r="35" spans="1:23" x14ac:dyDescent="0.2">
      <c r="A35" t="s">
        <v>59</v>
      </c>
      <c r="B35" s="3" t="s">
        <v>35</v>
      </c>
      <c r="C35" s="12">
        <v>51542.745000000003</v>
      </c>
      <c r="D35" s="12" t="s">
        <v>58</v>
      </c>
      <c r="E35">
        <f t="shared" si="7"/>
        <v>61437.886353236383</v>
      </c>
      <c r="F35">
        <f t="shared" si="9"/>
        <v>61438</v>
      </c>
      <c r="G35">
        <f t="shared" si="1"/>
        <v>-5.0648492710024584E-2</v>
      </c>
      <c r="K35">
        <f t="shared" si="8"/>
        <v>-5.0648492710024584E-2</v>
      </c>
      <c r="O35">
        <f t="shared" ca="1" si="2"/>
        <v>-4.8793886134930006E-2</v>
      </c>
      <c r="P35" s="57">
        <f t="shared" si="3"/>
        <v>-5.8234964543161377E-2</v>
      </c>
      <c r="Q35" s="2">
        <f t="shared" si="4"/>
        <v>36524.245000000003</v>
      </c>
      <c r="R35" s="59">
        <f t="shared" si="5"/>
        <v>5.7554554874977933E-5</v>
      </c>
      <c r="S35" s="59">
        <v>1</v>
      </c>
      <c r="T35" s="59">
        <f t="shared" si="6"/>
        <v>5.7554554874977933E-5</v>
      </c>
    </row>
    <row r="36" spans="1:23" x14ac:dyDescent="0.2">
      <c r="A36" t="s">
        <v>56</v>
      </c>
      <c r="B36" s="3" t="s">
        <v>34</v>
      </c>
      <c r="C36" s="12">
        <v>51543.417999999998</v>
      </c>
      <c r="D36" s="12" t="s">
        <v>62</v>
      </c>
      <c r="E36">
        <f t="shared" si="7"/>
        <v>61439.396452902176</v>
      </c>
      <c r="F36">
        <f t="shared" si="9"/>
        <v>61439.5</v>
      </c>
      <c r="G36">
        <f t="shared" si="1"/>
        <v>-4.614741557452362E-2</v>
      </c>
      <c r="K36">
        <f t="shared" si="8"/>
        <v>-4.614741557452362E-2</v>
      </c>
      <c r="O36">
        <f t="shared" ca="1" si="2"/>
        <v>-4.8796682966588997E-2</v>
      </c>
      <c r="P36" s="57">
        <f t="shared" si="3"/>
        <v>-5.8230170377914336E-2</v>
      </c>
      <c r="Q36" s="2">
        <f t="shared" si="4"/>
        <v>36524.917999999998</v>
      </c>
      <c r="R36" s="59">
        <f t="shared" si="5"/>
        <v>1.4599296363886142E-4</v>
      </c>
      <c r="S36" s="59">
        <v>1</v>
      </c>
      <c r="T36" s="59">
        <f t="shared" si="6"/>
        <v>1.4599296363886142E-4</v>
      </c>
    </row>
    <row r="37" spans="1:23" x14ac:dyDescent="0.2">
      <c r="A37" s="10" t="s">
        <v>33</v>
      </c>
      <c r="B37" s="11" t="s">
        <v>34</v>
      </c>
      <c r="C37" s="10">
        <v>51543.418000000063</v>
      </c>
      <c r="D37" s="10">
        <v>2.3E-3</v>
      </c>
      <c r="E37">
        <f t="shared" si="7"/>
        <v>61439.396452902321</v>
      </c>
      <c r="F37">
        <f t="shared" si="9"/>
        <v>61439.5</v>
      </c>
      <c r="G37">
        <f t="shared" si="1"/>
        <v>-4.6147415509040002E-2</v>
      </c>
      <c r="K37">
        <f t="shared" si="8"/>
        <v>-4.6147415509040002E-2</v>
      </c>
      <c r="O37">
        <f t="shared" ca="1" si="2"/>
        <v>-4.8796682966588997E-2</v>
      </c>
      <c r="P37" s="57">
        <f t="shared" si="3"/>
        <v>-5.8230170377914336E-2</v>
      </c>
      <c r="Q37" s="2">
        <f t="shared" si="4"/>
        <v>36524.918000000063</v>
      </c>
      <c r="R37" s="59">
        <f t="shared" si="5"/>
        <v>1.4599296522130645E-4</v>
      </c>
      <c r="S37" s="59">
        <v>1</v>
      </c>
      <c r="T37" s="59">
        <f t="shared" si="6"/>
        <v>1.4599296522130645E-4</v>
      </c>
    </row>
    <row r="38" spans="1:23" x14ac:dyDescent="0.2">
      <c r="A38" s="10" t="s">
        <v>33</v>
      </c>
      <c r="B38" s="11" t="s">
        <v>35</v>
      </c>
      <c r="C38" s="10">
        <v>51543.635799999814</v>
      </c>
      <c r="D38" s="10">
        <v>1.9E-3</v>
      </c>
      <c r="E38">
        <f t="shared" si="7"/>
        <v>61439.885159747544</v>
      </c>
      <c r="F38">
        <f t="shared" si="9"/>
        <v>61440</v>
      </c>
      <c r="G38">
        <f t="shared" si="1"/>
        <v>-5.118039004446473E-2</v>
      </c>
      <c r="K38">
        <f t="shared" si="8"/>
        <v>-5.118039004446473E-2</v>
      </c>
      <c r="O38">
        <f t="shared" ca="1" si="2"/>
        <v>-4.879761524380867E-2</v>
      </c>
      <c r="P38" s="57">
        <f t="shared" si="3"/>
        <v>-5.8228572375661342E-2</v>
      </c>
      <c r="Q38" s="2">
        <f t="shared" si="4"/>
        <v>36525.135799999814</v>
      </c>
      <c r="R38" s="59">
        <f t="shared" si="5"/>
        <v>4.9676874173792107E-5</v>
      </c>
      <c r="S38" s="59">
        <v>1</v>
      </c>
      <c r="T38" s="59">
        <f t="shared" si="6"/>
        <v>4.9676874173792107E-5</v>
      </c>
    </row>
    <row r="39" spans="1:23" x14ac:dyDescent="0.2">
      <c r="A39" t="s">
        <v>56</v>
      </c>
      <c r="B39" s="3" t="s">
        <v>35</v>
      </c>
      <c r="C39" s="12">
        <v>51543.635799999996</v>
      </c>
      <c r="D39" s="12" t="s">
        <v>62</v>
      </c>
      <c r="E39">
        <f t="shared" si="7"/>
        <v>61439.885159747952</v>
      </c>
      <c r="F39">
        <f t="shared" si="9"/>
        <v>61440</v>
      </c>
      <c r="G39">
        <f t="shared" si="1"/>
        <v>-5.1180389862565789E-2</v>
      </c>
      <c r="K39">
        <f t="shared" si="8"/>
        <v>-5.1180389862565789E-2</v>
      </c>
      <c r="O39">
        <f t="shared" ca="1" si="2"/>
        <v>-4.879761524380867E-2</v>
      </c>
      <c r="P39" s="57">
        <f t="shared" si="3"/>
        <v>-5.8228572375661342E-2</v>
      </c>
      <c r="Q39" s="2">
        <f t="shared" si="4"/>
        <v>36525.135799999996</v>
      </c>
      <c r="R39" s="59">
        <f t="shared" si="5"/>
        <v>4.9676876737905932E-5</v>
      </c>
      <c r="S39" s="59">
        <v>1</v>
      </c>
      <c r="T39" s="59">
        <f t="shared" si="6"/>
        <v>4.9676876737905932E-5</v>
      </c>
    </row>
    <row r="40" spans="1:23" ht="15" x14ac:dyDescent="0.2">
      <c r="A40" s="14" t="s">
        <v>72</v>
      </c>
      <c r="B40" s="62" t="s">
        <v>34</v>
      </c>
      <c r="C40" s="12">
        <v>57082.140599999999</v>
      </c>
      <c r="D40" s="63">
        <v>2.9999999999999997E-4</v>
      </c>
      <c r="E40">
        <f t="shared" si="7"/>
        <v>73867.365468084114</v>
      </c>
      <c r="F40">
        <f t="shared" si="9"/>
        <v>73867.5</v>
      </c>
      <c r="G40">
        <f t="shared" si="1"/>
        <v>-5.9956293916911818E-2</v>
      </c>
      <c r="K40">
        <f t="shared" si="8"/>
        <v>-5.9956293916911818E-2</v>
      </c>
      <c r="O40">
        <f t="shared" ca="1" si="2"/>
        <v>-7.1969365538621932E-2</v>
      </c>
      <c r="P40" s="57">
        <f t="shared" si="3"/>
        <v>-2.6669648150093428E-2</v>
      </c>
      <c r="Q40" s="2">
        <f t="shared" si="4"/>
        <v>42063.640599999999</v>
      </c>
      <c r="R40" s="59">
        <f t="shared" si="5"/>
        <v>1.1080007864056488E-3</v>
      </c>
      <c r="S40" s="59">
        <v>1</v>
      </c>
      <c r="T40" s="59">
        <f t="shared" si="6"/>
        <v>1.1080007864056488E-3</v>
      </c>
    </row>
    <row r="41" spans="1:23" x14ac:dyDescent="0.2">
      <c r="A41" s="64" t="s">
        <v>2</v>
      </c>
      <c r="B41" s="65" t="s">
        <v>35</v>
      </c>
      <c r="C41" s="64">
        <v>57503.063999999998</v>
      </c>
      <c r="D41" s="64">
        <v>2E-3</v>
      </c>
      <c r="E41">
        <f t="shared" si="7"/>
        <v>74811.847319001317</v>
      </c>
      <c r="F41">
        <f t="shared" si="9"/>
        <v>74812</v>
      </c>
      <c r="G41">
        <f t="shared" si="1"/>
        <v>-6.8044722109334543E-2</v>
      </c>
      <c r="K41">
        <f t="shared" si="8"/>
        <v>-6.8044722109334543E-2</v>
      </c>
      <c r="O41">
        <f t="shared" ca="1" si="2"/>
        <v>-7.3730437206572158E-2</v>
      </c>
      <c r="P41" s="57">
        <f t="shared" si="3"/>
        <v>-2.493837010844957E-2</v>
      </c>
      <c r="Q41" s="2">
        <f t="shared" si="4"/>
        <v>42484.563999999998</v>
      </c>
      <c r="R41" s="59">
        <f t="shared" si="5"/>
        <v>1.8581575828242E-3</v>
      </c>
      <c r="S41" s="59">
        <v>1</v>
      </c>
      <c r="T41" s="59">
        <f t="shared" si="6"/>
        <v>1.8581575828242E-3</v>
      </c>
    </row>
    <row r="42" spans="1:23" ht="12" customHeight="1" x14ac:dyDescent="0.2">
      <c r="A42" s="66" t="s">
        <v>1</v>
      </c>
      <c r="B42" s="67" t="s">
        <v>34</v>
      </c>
      <c r="C42" s="66">
        <v>58177.12444</v>
      </c>
      <c r="D42" s="66">
        <v>2.9999999999999997E-4</v>
      </c>
      <c r="E42">
        <f t="shared" si="7"/>
        <v>76324.326435157083</v>
      </c>
      <c r="F42">
        <f t="shared" si="9"/>
        <v>76324.5</v>
      </c>
      <c r="G42">
        <f t="shared" si="1"/>
        <v>-7.7351940359221771E-2</v>
      </c>
      <c r="K42">
        <f t="shared" si="8"/>
        <v>-7.7351940359221771E-2</v>
      </c>
      <c r="O42">
        <f t="shared" ca="1" si="2"/>
        <v>-7.6550575796063614E-2</v>
      </c>
      <c r="P42" s="57">
        <f t="shared" si="3"/>
        <v>-2.2362267012445092E-2</v>
      </c>
      <c r="Q42" s="2">
        <f t="shared" si="4"/>
        <v>43158.62444</v>
      </c>
      <c r="R42" s="59">
        <f t="shared" si="5"/>
        <v>3.0238641747852017E-3</v>
      </c>
      <c r="S42" s="59">
        <v>1</v>
      </c>
      <c r="T42" s="59">
        <f t="shared" si="6"/>
        <v>3.0238641747852017E-3</v>
      </c>
    </row>
    <row r="43" spans="1:23" ht="12" customHeight="1" x14ac:dyDescent="0.2">
      <c r="A43" s="66" t="s">
        <v>1</v>
      </c>
      <c r="B43" s="67" t="s">
        <v>35</v>
      </c>
      <c r="C43" s="66">
        <v>58216.115519999999</v>
      </c>
      <c r="D43" s="66">
        <v>1E-4</v>
      </c>
      <c r="E43">
        <f t="shared" si="7"/>
        <v>76411.815910457459</v>
      </c>
      <c r="F43">
        <f t="shared" si="9"/>
        <v>76412</v>
      </c>
      <c r="G43">
        <f t="shared" si="1"/>
        <v>-8.2042440590157639E-2</v>
      </c>
      <c r="K43">
        <f t="shared" si="8"/>
        <v>-8.2042440590157639E-2</v>
      </c>
      <c r="O43">
        <f t="shared" ca="1" si="2"/>
        <v>-7.6713724309505266E-2</v>
      </c>
      <c r="P43" s="57">
        <f t="shared" si="3"/>
        <v>-2.22206323484892E-2</v>
      </c>
      <c r="Q43" s="2">
        <f t="shared" si="4"/>
        <v>43197.615519999999</v>
      </c>
      <c r="R43" s="59">
        <f t="shared" si="5"/>
        <v>3.5786487413029498E-3</v>
      </c>
      <c r="S43" s="59">
        <v>1</v>
      </c>
      <c r="T43" s="59">
        <f t="shared" si="6"/>
        <v>3.5786487413029498E-3</v>
      </c>
    </row>
    <row r="44" spans="1:23" ht="12" customHeight="1" x14ac:dyDescent="0.2">
      <c r="A44" s="70" t="s">
        <v>73</v>
      </c>
      <c r="B44" s="71" t="s">
        <v>35</v>
      </c>
      <c r="C44" s="72">
        <v>58575.097529999912</v>
      </c>
      <c r="D44" s="70">
        <v>1.5E-3</v>
      </c>
      <c r="E44">
        <f t="shared" si="7"/>
        <v>77217.311621198911</v>
      </c>
      <c r="F44">
        <f t="shared" si="9"/>
        <v>77217.5</v>
      </c>
      <c r="G44">
        <f t="shared" si="1"/>
        <v>-8.3954017085488886E-2</v>
      </c>
      <c r="K44">
        <f t="shared" si="8"/>
        <v>-8.3954017085488886E-2</v>
      </c>
      <c r="O44">
        <f t="shared" ca="1" si="2"/>
        <v>-7.8215622910388138E-2</v>
      </c>
      <c r="P44" s="57">
        <f t="shared" si="3"/>
        <v>-2.095478477935675E-2</v>
      </c>
      <c r="Q44" s="2">
        <f t="shared" si="4"/>
        <v>43556.597529999912</v>
      </c>
      <c r="R44" s="59">
        <f t="shared" si="5"/>
        <v>3.9689032711620028E-3</v>
      </c>
      <c r="S44" s="59">
        <v>1</v>
      </c>
      <c r="T44" s="59">
        <f t="shared" si="6"/>
        <v>3.9689032711620028E-3</v>
      </c>
    </row>
    <row r="45" spans="1:23" ht="12" customHeight="1" x14ac:dyDescent="0.2">
      <c r="A45" s="70" t="s">
        <v>73</v>
      </c>
      <c r="B45" s="71" t="s">
        <v>34</v>
      </c>
      <c r="C45" s="72">
        <v>58580.222339999862</v>
      </c>
      <c r="D45" s="70">
        <v>1.1999999999999999E-3</v>
      </c>
      <c r="E45">
        <f t="shared" si="7"/>
        <v>77228.810839428057</v>
      </c>
      <c r="F45">
        <f t="shared" si="9"/>
        <v>77229</v>
      </c>
      <c r="G45">
        <f t="shared" si="1"/>
        <v>-8.430242573376745E-2</v>
      </c>
      <c r="K45">
        <f t="shared" si="8"/>
        <v>-8.430242573376745E-2</v>
      </c>
      <c r="O45">
        <f t="shared" ca="1" si="2"/>
        <v>-7.8237065286440477E-2</v>
      </c>
      <c r="P45" s="57">
        <f t="shared" si="3"/>
        <v>-2.0937208824821918E-2</v>
      </c>
      <c r="Q45" s="2">
        <f t="shared" si="4"/>
        <v>43561.722339999862</v>
      </c>
      <c r="R45" s="59">
        <f t="shared" si="5"/>
        <v>4.0151507139177169E-3</v>
      </c>
      <c r="S45" s="59">
        <v>1</v>
      </c>
      <c r="T45" s="59">
        <f t="shared" si="6"/>
        <v>4.0151507139177169E-3</v>
      </c>
    </row>
    <row r="46" spans="1:23" ht="12" customHeight="1" x14ac:dyDescent="0.2">
      <c r="A46" s="70" t="s">
        <v>74</v>
      </c>
      <c r="B46" s="71" t="s">
        <v>34</v>
      </c>
      <c r="C46" s="72">
        <v>58948.118480000179</v>
      </c>
      <c r="D46" s="70">
        <v>2.2899999999999999E-3</v>
      </c>
      <c r="E46">
        <f t="shared" si="7"/>
        <v>78054.308369983017</v>
      </c>
      <c r="F46">
        <f t="shared" si="9"/>
        <v>78054.5</v>
      </c>
      <c r="G46">
        <f t="shared" si="1"/>
        <v>-8.5402973301825114E-2</v>
      </c>
      <c r="K46">
        <f t="shared" si="8"/>
        <v>-8.5402973301825114E-2</v>
      </c>
      <c r="O46">
        <f t="shared" ca="1" si="2"/>
        <v>-7.9776254976110045E-2</v>
      </c>
      <c r="P46" s="57">
        <f t="shared" si="3"/>
        <v>-1.9712062978298528E-2</v>
      </c>
      <c r="Q46" s="2">
        <f t="shared" si="4"/>
        <v>43929.618480000179</v>
      </c>
      <c r="R46" s="59">
        <f t="shared" si="5"/>
        <v>4.3152956991336115E-3</v>
      </c>
      <c r="S46" s="59">
        <v>1</v>
      </c>
      <c r="T46" s="59">
        <f t="shared" si="6"/>
        <v>4.3152956991336115E-3</v>
      </c>
    </row>
    <row r="47" spans="1:23" ht="12" customHeight="1" x14ac:dyDescent="0.2">
      <c r="A47" s="77" t="s">
        <v>78</v>
      </c>
      <c r="B47" s="80" t="s">
        <v>34</v>
      </c>
      <c r="C47" s="77">
        <v>59307.550372203812</v>
      </c>
      <c r="D47" s="81">
        <v>7.4200000000000004E-4</v>
      </c>
      <c r="E47">
        <f t="shared" si="7"/>
        <v>78860.813541297248</v>
      </c>
      <c r="F47">
        <f t="shared" si="9"/>
        <v>78861</v>
      </c>
      <c r="G47">
        <f t="shared" si="1"/>
        <v>-8.3098294635419734E-2</v>
      </c>
      <c r="L47">
        <f t="shared" ref="L47:L58" si="10">+G47</f>
        <v>-8.3098294635419734E-2</v>
      </c>
      <c r="O47">
        <f t="shared" ca="1" si="2"/>
        <v>-8.1280018131432263E-2</v>
      </c>
      <c r="P47" s="57">
        <f t="shared" si="3"/>
        <v>-1.8584649790869323E-2</v>
      </c>
      <c r="Q47" s="2">
        <f t="shared" si="4"/>
        <v>44289.050372203812</v>
      </c>
      <c r="R47" s="59">
        <f t="shared" si="5"/>
        <v>4.1620103711287855E-3</v>
      </c>
      <c r="S47" s="59">
        <v>1</v>
      </c>
      <c r="T47" s="59">
        <f t="shared" si="6"/>
        <v>4.1620103711287855E-3</v>
      </c>
      <c r="W47" s="82" t="s">
        <v>76</v>
      </c>
    </row>
    <row r="48" spans="1:23" ht="12" customHeight="1" x14ac:dyDescent="0.2">
      <c r="A48" s="77" t="s">
        <v>78</v>
      </c>
      <c r="B48" s="80" t="s">
        <v>35</v>
      </c>
      <c r="C48" s="77">
        <v>59307.774792193901</v>
      </c>
      <c r="D48" s="81">
        <v>1.1640000000000001E-3</v>
      </c>
      <c r="E48">
        <f t="shared" si="7"/>
        <v>78861.317102295798</v>
      </c>
      <c r="F48">
        <f t="shared" si="9"/>
        <v>78861.5</v>
      </c>
      <c r="G48">
        <f t="shared" si="1"/>
        <v>-8.1511278840480372E-2</v>
      </c>
      <c r="L48">
        <f t="shared" si="10"/>
        <v>-8.1511278840480372E-2</v>
      </c>
      <c r="O48">
        <f t="shared" ca="1" si="2"/>
        <v>-8.1280950408651909E-2</v>
      </c>
      <c r="P48" s="57">
        <f t="shared" si="3"/>
        <v>-1.8583972153228823E-2</v>
      </c>
      <c r="Q48" s="2">
        <f t="shared" si="4"/>
        <v>44289.274792193901</v>
      </c>
      <c r="R48" s="59">
        <f t="shared" si="5"/>
        <v>3.959845926911414E-3</v>
      </c>
      <c r="S48" s="59">
        <v>1</v>
      </c>
      <c r="T48" s="59">
        <f t="shared" si="6"/>
        <v>3.959845926911414E-3</v>
      </c>
      <c r="W48" s="82" t="s">
        <v>76</v>
      </c>
    </row>
    <row r="49" spans="1:23" x14ac:dyDescent="0.2">
      <c r="A49" s="77" t="s">
        <v>78</v>
      </c>
      <c r="B49" s="80" t="s">
        <v>34</v>
      </c>
      <c r="C49" s="77">
        <v>59318.2461416726</v>
      </c>
      <c r="D49" s="81">
        <v>8.92E-4</v>
      </c>
      <c r="E49">
        <f t="shared" si="7"/>
        <v>78884.813062694404</v>
      </c>
      <c r="F49">
        <f t="shared" si="9"/>
        <v>78885</v>
      </c>
      <c r="G49">
        <f t="shared" si="1"/>
        <v>-8.3311591632082127E-2</v>
      </c>
      <c r="L49">
        <f t="shared" si="10"/>
        <v>-8.3311591632082127E-2</v>
      </c>
      <c r="O49">
        <f t="shared" ca="1" si="2"/>
        <v>-8.1324767437976259E-2</v>
      </c>
      <c r="P49" s="57">
        <f t="shared" si="3"/>
        <v>-1.855215297982038E-2</v>
      </c>
      <c r="Q49" s="2">
        <f t="shared" si="4"/>
        <v>44299.7461416726</v>
      </c>
      <c r="R49" s="59">
        <f t="shared" si="5"/>
        <v>4.1937848945560524E-3</v>
      </c>
      <c r="S49" s="59">
        <v>1</v>
      </c>
      <c r="T49" s="59">
        <f t="shared" si="6"/>
        <v>4.1937848945560524E-3</v>
      </c>
      <c r="W49" s="82" t="s">
        <v>76</v>
      </c>
    </row>
    <row r="50" spans="1:23" x14ac:dyDescent="0.2">
      <c r="A50" s="77" t="s">
        <v>78</v>
      </c>
      <c r="B50" s="80" t="s">
        <v>35</v>
      </c>
      <c r="C50" s="77">
        <v>59318.471491659526</v>
      </c>
      <c r="D50" s="81">
        <v>9.3499999999999996E-4</v>
      </c>
      <c r="E50">
        <f t="shared" si="7"/>
        <v>78885.318710450636</v>
      </c>
      <c r="F50">
        <f t="shared" si="9"/>
        <v>78885.5</v>
      </c>
      <c r="G50">
        <f t="shared" si="1"/>
        <v>-8.0794578985660337E-2</v>
      </c>
      <c r="L50">
        <f t="shared" si="10"/>
        <v>-8.0794578985660337E-2</v>
      </c>
      <c r="O50">
        <f t="shared" ca="1" si="2"/>
        <v>-8.1325699715195904E-2</v>
      </c>
      <c r="P50" s="57">
        <f t="shared" si="3"/>
        <v>-1.855147661008183E-2</v>
      </c>
      <c r="Q50" s="2">
        <f t="shared" si="4"/>
        <v>44299.971491659526</v>
      </c>
      <c r="R50" s="59">
        <f t="shared" si="5"/>
        <v>3.8742037933367467E-3</v>
      </c>
      <c r="S50" s="59">
        <v>1</v>
      </c>
      <c r="T50" s="59">
        <f t="shared" si="6"/>
        <v>3.8742037933367467E-3</v>
      </c>
      <c r="W50" s="82" t="s">
        <v>76</v>
      </c>
    </row>
    <row r="51" spans="1:23" x14ac:dyDescent="0.2">
      <c r="A51" s="77" t="s">
        <v>78</v>
      </c>
      <c r="B51" s="80" t="s">
        <v>34</v>
      </c>
      <c r="C51" s="77">
        <v>59332.062361381482</v>
      </c>
      <c r="D51" s="81">
        <v>1.7260000000000001E-3</v>
      </c>
      <c r="E51">
        <f t="shared" si="7"/>
        <v>78915.814353578506</v>
      </c>
      <c r="F51">
        <f t="shared" si="9"/>
        <v>78916</v>
      </c>
      <c r="G51">
        <f t="shared" si="1"/>
        <v>-8.2736288546584547E-2</v>
      </c>
      <c r="L51">
        <f t="shared" si="10"/>
        <v>-8.2736288546584547E-2</v>
      </c>
      <c r="O51">
        <f t="shared" ca="1" si="2"/>
        <v>-8.1382568625595592E-2</v>
      </c>
      <c r="P51" s="57">
        <f t="shared" si="3"/>
        <v>-1.851026800607064E-2</v>
      </c>
      <c r="Q51" s="2">
        <f t="shared" si="4"/>
        <v>44313.562361381482</v>
      </c>
      <c r="R51" s="59">
        <f t="shared" si="5"/>
        <v>4.1249817144705138E-3</v>
      </c>
      <c r="S51" s="59">
        <v>1</v>
      </c>
      <c r="T51" s="59">
        <f t="shared" si="6"/>
        <v>4.1249817144705138E-3</v>
      </c>
      <c r="W51" s="82" t="s">
        <v>76</v>
      </c>
    </row>
    <row r="52" spans="1:23" x14ac:dyDescent="0.2">
      <c r="A52" s="77" t="s">
        <v>78</v>
      </c>
      <c r="B52" s="80" t="s">
        <v>35</v>
      </c>
      <c r="C52" s="77">
        <v>59332.286891367286</v>
      </c>
      <c r="D52" s="81">
        <v>7.6099999999999996E-4</v>
      </c>
      <c r="E52">
        <f t="shared" si="7"/>
        <v>78916.318161389092</v>
      </c>
      <c r="F52">
        <f t="shared" si="9"/>
        <v>78916.5</v>
      </c>
      <c r="G52">
        <f t="shared" si="1"/>
        <v>-8.103927702177316E-2</v>
      </c>
      <c r="L52">
        <f t="shared" si="10"/>
        <v>-8.103927702177316E-2</v>
      </c>
      <c r="O52">
        <f t="shared" ca="1" si="2"/>
        <v>-8.1383500902815237E-2</v>
      </c>
      <c r="P52" s="57">
        <f t="shared" si="3"/>
        <v>-1.8509593274038394E-2</v>
      </c>
      <c r="Q52" s="2">
        <f t="shared" si="4"/>
        <v>44313.786891367286</v>
      </c>
      <c r="R52" s="59">
        <f t="shared" si="5"/>
        <v>3.9099613495917254E-3</v>
      </c>
      <c r="S52" s="59">
        <v>1</v>
      </c>
      <c r="T52" s="59">
        <f t="shared" si="6"/>
        <v>3.9099613495917254E-3</v>
      </c>
      <c r="W52" s="82" t="s">
        <v>76</v>
      </c>
    </row>
    <row r="53" spans="1:23" x14ac:dyDescent="0.2">
      <c r="A53" s="77" t="s">
        <v>78</v>
      </c>
      <c r="B53" s="80" t="s">
        <v>34</v>
      </c>
      <c r="C53" s="77">
        <v>59334.29080129182</v>
      </c>
      <c r="D53" s="81">
        <v>1.65E-3</v>
      </c>
      <c r="E53">
        <f t="shared" si="7"/>
        <v>78920.814600775906</v>
      </c>
      <c r="F53">
        <f t="shared" si="9"/>
        <v>78921</v>
      </c>
      <c r="G53">
        <f t="shared" si="1"/>
        <v>-8.2626121075008996E-2</v>
      </c>
      <c r="L53">
        <f t="shared" si="10"/>
        <v>-8.2626121075008996E-2</v>
      </c>
      <c r="O53">
        <f t="shared" ca="1" si="2"/>
        <v>-8.1391891397792238E-2</v>
      </c>
      <c r="P53" s="57">
        <f t="shared" si="3"/>
        <v>-1.850352187440657E-2</v>
      </c>
      <c r="Q53" s="2">
        <f t="shared" si="4"/>
        <v>44315.79080129182</v>
      </c>
      <c r="R53" s="59">
        <f t="shared" si="5"/>
        <v>4.1117077282410985E-3</v>
      </c>
      <c r="S53" s="59">
        <v>1</v>
      </c>
      <c r="T53" s="59">
        <f t="shared" si="6"/>
        <v>4.1117077282410985E-3</v>
      </c>
      <c r="W53" s="82" t="s">
        <v>76</v>
      </c>
    </row>
    <row r="54" spans="1:23" x14ac:dyDescent="0.2">
      <c r="A54" s="77" t="s">
        <v>78</v>
      </c>
      <c r="B54" s="80" t="s">
        <v>34</v>
      </c>
      <c r="C54" s="77">
        <v>59334.290881291963</v>
      </c>
      <c r="D54" s="81">
        <v>1.572E-3</v>
      </c>
      <c r="E54">
        <f t="shared" si="7"/>
        <v>78920.814780282875</v>
      </c>
      <c r="F54">
        <f t="shared" si="9"/>
        <v>78921</v>
      </c>
      <c r="G54">
        <f t="shared" si="1"/>
        <v>-8.2546120931510814E-2</v>
      </c>
      <c r="L54">
        <f t="shared" si="10"/>
        <v>-8.2546120931510814E-2</v>
      </c>
      <c r="O54">
        <f t="shared" ca="1" si="2"/>
        <v>-8.1391891397792238E-2</v>
      </c>
      <c r="P54" s="57">
        <f t="shared" si="3"/>
        <v>-1.850352187440657E-2</v>
      </c>
      <c r="Q54" s="2">
        <f t="shared" si="4"/>
        <v>44315.790881291963</v>
      </c>
      <c r="R54" s="59">
        <f t="shared" si="5"/>
        <v>4.1014544939890095E-3</v>
      </c>
      <c r="S54" s="59">
        <v>1</v>
      </c>
      <c r="T54" s="59">
        <f t="shared" si="6"/>
        <v>4.1014544939890095E-3</v>
      </c>
      <c r="W54" s="82" t="s">
        <v>76</v>
      </c>
    </row>
    <row r="55" spans="1:23" x14ac:dyDescent="0.2">
      <c r="A55" s="77" t="s">
        <v>78</v>
      </c>
      <c r="B55" s="80" t="s">
        <v>34</v>
      </c>
      <c r="C55" s="77">
        <v>59345.879030742217</v>
      </c>
      <c r="D55" s="81">
        <v>9.9200000000000004E-4</v>
      </c>
      <c r="E55">
        <f t="shared" si="7"/>
        <v>78946.816653406306</v>
      </c>
      <c r="F55">
        <f t="shared" si="9"/>
        <v>78947</v>
      </c>
      <c r="G55">
        <f t="shared" si="1"/>
        <v>-8.1711333608836867E-2</v>
      </c>
      <c r="L55">
        <f t="shared" si="10"/>
        <v>-8.1711333608836867E-2</v>
      </c>
      <c r="O55">
        <f t="shared" ca="1" si="2"/>
        <v>-8.1440369813214897E-2</v>
      </c>
      <c r="P55" s="57">
        <f t="shared" si="3"/>
        <v>-1.8468484570121013E-2</v>
      </c>
      <c r="Q55" s="2">
        <f t="shared" si="4"/>
        <v>44327.379030742217</v>
      </c>
      <c r="R55" s="59">
        <f t="shared" si="5"/>
        <v>3.9996579545338029E-3</v>
      </c>
      <c r="S55" s="59">
        <v>1</v>
      </c>
      <c r="T55" s="59">
        <f t="shared" si="6"/>
        <v>3.9996579545338029E-3</v>
      </c>
      <c r="W55" s="82" t="s">
        <v>76</v>
      </c>
    </row>
    <row r="56" spans="1:23" x14ac:dyDescent="0.2">
      <c r="A56" s="77" t="s">
        <v>78</v>
      </c>
      <c r="B56" s="80" t="s">
        <v>35</v>
      </c>
      <c r="C56" s="77">
        <v>59346.10303073097</v>
      </c>
      <c r="D56" s="81">
        <v>2.15E-3</v>
      </c>
      <c r="E56">
        <f t="shared" si="7"/>
        <v>78947.319271991975</v>
      </c>
      <c r="F56">
        <f t="shared" si="9"/>
        <v>78947.5</v>
      </c>
      <c r="G56">
        <f t="shared" si="1"/>
        <v>-8.0544319134787656E-2</v>
      </c>
      <c r="L56">
        <f t="shared" si="10"/>
        <v>-8.0544319134787656E-2</v>
      </c>
      <c r="O56">
        <f t="shared" ca="1" si="2"/>
        <v>-8.144130209043457E-2</v>
      </c>
      <c r="P56" s="57">
        <f t="shared" si="3"/>
        <v>-1.8467811475795237E-2</v>
      </c>
      <c r="Q56" s="2">
        <f t="shared" si="4"/>
        <v>44327.60303073097</v>
      </c>
      <c r="R56" s="59">
        <f t="shared" si="5"/>
        <v>3.8534928031369446E-3</v>
      </c>
      <c r="S56" s="59">
        <v>1</v>
      </c>
      <c r="T56" s="59">
        <f t="shared" si="6"/>
        <v>3.8534928031369446E-3</v>
      </c>
      <c r="W56" s="82" t="s">
        <v>76</v>
      </c>
    </row>
    <row r="57" spans="1:23" x14ac:dyDescent="0.2">
      <c r="A57" s="77" t="s">
        <v>78</v>
      </c>
      <c r="B57" s="80" t="s">
        <v>34</v>
      </c>
      <c r="C57" s="77">
        <v>59359.694070477504</v>
      </c>
      <c r="D57" s="81">
        <v>4.0700000000000003E-4</v>
      </c>
      <c r="E57">
        <f t="shared" si="7"/>
        <v>78977.815296626606</v>
      </c>
      <c r="F57">
        <f t="shared" si="9"/>
        <v>78978</v>
      </c>
      <c r="G57">
        <f t="shared" si="1"/>
        <v>-8.2316004103631712E-2</v>
      </c>
      <c r="L57">
        <f t="shared" si="10"/>
        <v>-8.2316004103631712E-2</v>
      </c>
      <c r="O57">
        <f t="shared" ca="1" si="2"/>
        <v>-8.149817100083423E-2</v>
      </c>
      <c r="P57" s="57">
        <f t="shared" si="3"/>
        <v>-1.8426802671971554E-2</v>
      </c>
      <c r="Q57" s="2">
        <f t="shared" si="4"/>
        <v>44341.194070477504</v>
      </c>
      <c r="R57" s="59">
        <f t="shared" si="5"/>
        <v>4.0818300595752465E-3</v>
      </c>
      <c r="S57" s="59">
        <v>1</v>
      </c>
      <c r="T57" s="59">
        <f t="shared" si="6"/>
        <v>4.0818300595752465E-3</v>
      </c>
      <c r="W57" s="82" t="s">
        <v>76</v>
      </c>
    </row>
    <row r="58" spans="1:23" x14ac:dyDescent="0.2">
      <c r="A58" s="77" t="s">
        <v>78</v>
      </c>
      <c r="B58" s="80" t="s">
        <v>35</v>
      </c>
      <c r="C58" s="77">
        <v>59359.918690467719</v>
      </c>
      <c r="D58" s="81">
        <v>1.0449999999999999E-3</v>
      </c>
      <c r="E58">
        <f t="shared" si="7"/>
        <v>78978.319306392077</v>
      </c>
      <c r="F58">
        <f t="shared" si="9"/>
        <v>78978.5</v>
      </c>
      <c r="G58">
        <f t="shared" si="1"/>
        <v>-8.0528988182777539E-2</v>
      </c>
      <c r="L58">
        <f t="shared" si="10"/>
        <v>-8.0528988182777539E-2</v>
      </c>
      <c r="O58">
        <f t="shared" ca="1" si="2"/>
        <v>-8.1499103278053903E-2</v>
      </c>
      <c r="P58" s="57">
        <f t="shared" si="3"/>
        <v>-1.8426131215352193E-2</v>
      </c>
      <c r="Q58" s="2">
        <f t="shared" si="4"/>
        <v>44341.418690467719</v>
      </c>
      <c r="R58" s="59">
        <f t="shared" si="5"/>
        <v>3.856764843516491E-3</v>
      </c>
      <c r="S58" s="59">
        <v>1</v>
      </c>
      <c r="T58" s="59">
        <f t="shared" si="6"/>
        <v>3.856764843516491E-3</v>
      </c>
      <c r="W58" s="82" t="s">
        <v>76</v>
      </c>
    </row>
    <row r="59" spans="1:23" x14ac:dyDescent="0.2">
      <c r="A59" s="73" t="s">
        <v>75</v>
      </c>
      <c r="B59" s="74" t="s">
        <v>35</v>
      </c>
      <c r="C59" s="75">
        <v>59641.136624000035</v>
      </c>
      <c r="D59" s="76">
        <v>2.4000000000000001E-4</v>
      </c>
      <c r="E59">
        <f t="shared" si="7"/>
        <v>79609.325409577868</v>
      </c>
      <c r="F59">
        <f t="shared" si="9"/>
        <v>79609.5</v>
      </c>
      <c r="G59">
        <f t="shared" si="1"/>
        <v>-7.7809006092138588E-2</v>
      </c>
      <c r="K59">
        <f t="shared" si="8"/>
        <v>-7.7809006092138588E-2</v>
      </c>
      <c r="O59">
        <f t="shared" ca="1" si="2"/>
        <v>-8.2675637129273144E-2</v>
      </c>
      <c r="P59" s="57">
        <f t="shared" si="3"/>
        <v>-1.7599804172640232E-2</v>
      </c>
      <c r="Q59" s="2">
        <f t="shared" si="4"/>
        <v>44622.636624000035</v>
      </c>
      <c r="R59" s="59">
        <f t="shared" si="5"/>
        <v>3.6251479957829244E-3</v>
      </c>
      <c r="S59" s="59">
        <v>1</v>
      </c>
      <c r="T59" s="59">
        <f t="shared" si="6"/>
        <v>3.6251479957829244E-3</v>
      </c>
      <c r="W59" s="82" t="s">
        <v>76</v>
      </c>
    </row>
    <row r="60" spans="1:23" ht="12.75" customHeight="1" x14ac:dyDescent="0.25">
      <c r="A60" s="77" t="s">
        <v>77</v>
      </c>
      <c r="B60" s="78" t="s">
        <v>35</v>
      </c>
      <c r="C60" s="79">
        <v>60113.989905999973</v>
      </c>
      <c r="D60" s="79">
        <v>1.805E-3</v>
      </c>
      <c r="E60">
        <f t="shared" si="7"/>
        <v>80670.329247795424</v>
      </c>
      <c r="F60">
        <f t="shared" si="9"/>
        <v>80670.5</v>
      </c>
      <c r="G60">
        <f t="shared" si="1"/>
        <v>-7.6098443227238022E-2</v>
      </c>
      <c r="K60">
        <f t="shared" si="8"/>
        <v>-7.6098443227238022E-2</v>
      </c>
      <c r="O60">
        <f t="shared" ca="1" si="2"/>
        <v>-8.4653929389405663E-2</v>
      </c>
      <c r="P60" s="57">
        <f t="shared" si="3"/>
        <v>-1.6305209639859375E-2</v>
      </c>
      <c r="Q60" s="2">
        <f t="shared" si="4"/>
        <v>45095.489905999973</v>
      </c>
      <c r="R60" s="59">
        <f t="shared" si="5"/>
        <v>3.575230782834826E-3</v>
      </c>
      <c r="S60" s="59">
        <v>1</v>
      </c>
      <c r="T60" s="59">
        <f t="shared" si="6"/>
        <v>3.575230782834826E-3</v>
      </c>
      <c r="W60" s="82" t="s">
        <v>76</v>
      </c>
    </row>
  </sheetData>
  <sortState xmlns:xlrd2="http://schemas.microsoft.com/office/spreadsheetml/2017/richdata2" ref="A21:U60">
    <sortCondition ref="C21:C60"/>
  </sortState>
  <phoneticPr fontId="7" type="noConversion"/>
  <hyperlinks>
    <hyperlink ref="H62978" r:id="rId1" display="http://vsolj.cetus-net.org/bulletin.html" xr:uid="{00000000-0004-0000-0100-000000000000}"/>
    <hyperlink ref="H62971" r:id="rId2" display="http://vsolj.cetus-net.org/bulletin.html" xr:uid="{00000000-0004-0000-0100-000001000000}"/>
    <hyperlink ref="AP468" r:id="rId3" display="http://cdsbib.u-strasbg.fr/cgi-bin/cdsbib?1990RMxAA..21..381G" xr:uid="{00000000-0004-0000-0100-000002000000}"/>
    <hyperlink ref="AP471" r:id="rId4" display="http://cdsbib.u-strasbg.fr/cgi-bin/cdsbib?1990RMxAA..21..381G" xr:uid="{00000000-0004-0000-0100-000003000000}"/>
    <hyperlink ref="AP469" r:id="rId5" display="http://cdsbib.u-strasbg.fr/cgi-bin/cdsbib?1990RMxAA..21..381G" xr:uid="{00000000-0004-0000-0100-000004000000}"/>
    <hyperlink ref="AP447" r:id="rId6" display="http://cdsbib.u-strasbg.fr/cgi-bin/cdsbib?1990RMxAA..21..381G" xr:uid="{00000000-0004-0000-0100-000005000000}"/>
    <hyperlink ref="I62978" r:id="rId7" display="http://vsolj.cetus-net.org/bulletin.html" xr:uid="{00000000-0004-0000-0100-000006000000}"/>
    <hyperlink ref="AQ581" r:id="rId8" display="http://cdsbib.u-strasbg.fr/cgi-bin/cdsbib?1990RMxAA..21..381G" xr:uid="{00000000-0004-0000-0100-000007000000}"/>
    <hyperlink ref="AQ64386" r:id="rId9" display="http://cdsbib.u-strasbg.fr/cgi-bin/cdsbib?1990RMxAA..21..381G" xr:uid="{00000000-0004-0000-0100-000008000000}"/>
    <hyperlink ref="AQ582" r:id="rId10" display="http://cdsbib.u-strasbg.fr/cgi-bin/cdsbib?1990RMxAA..21..381G" xr:uid="{00000000-0004-0000-0100-000009000000}"/>
    <hyperlink ref="H62975" r:id="rId11" display="https://www.aavso.org/ejaavso" xr:uid="{00000000-0004-0000-0100-00000A000000}"/>
    <hyperlink ref="H63644" r:id="rId12" display="http://vsolj.cetus-net.org/bulletin.html" xr:uid="{00000000-0004-0000-0100-00000B000000}"/>
    <hyperlink ref="H63637" r:id="rId13" display="https://www.aavso.org/ejaavso" xr:uid="{00000000-0004-0000-0100-00000C000000}"/>
    <hyperlink ref="I63644" r:id="rId14" display="http://vsolj.cetus-net.org/bulletin.html" xr:uid="{00000000-0004-0000-0100-00000D000000}"/>
    <hyperlink ref="AQ57295" r:id="rId15" display="http://cdsbib.u-strasbg.fr/cgi-bin/cdsbib?1990RMxAA..21..381G" xr:uid="{00000000-0004-0000-0100-00000E000000}"/>
    <hyperlink ref="H63641" r:id="rId16" display="https://www.aavso.org/ejaavso" xr:uid="{00000000-0004-0000-0100-00000F000000}"/>
    <hyperlink ref="AP4659" r:id="rId17" display="http://cdsbib.u-strasbg.fr/cgi-bin/cdsbib?1990RMxAA..21..381G" xr:uid="{00000000-0004-0000-0100-000010000000}"/>
    <hyperlink ref="AP4662" r:id="rId18" display="http://cdsbib.u-strasbg.fr/cgi-bin/cdsbib?1990RMxAA..21..381G" xr:uid="{00000000-0004-0000-0100-000011000000}"/>
    <hyperlink ref="AP4660" r:id="rId19" display="http://cdsbib.u-strasbg.fr/cgi-bin/cdsbib?1990RMxAA..21..381G" xr:uid="{00000000-0004-0000-0100-000012000000}"/>
    <hyperlink ref="AP4644" r:id="rId20" display="http://cdsbib.u-strasbg.fr/cgi-bin/cdsbib?1990RMxAA..21..381G" xr:uid="{00000000-0004-0000-0100-000013000000}"/>
    <hyperlink ref="AQ4873" r:id="rId21" display="http://cdsbib.u-strasbg.fr/cgi-bin/cdsbib?1990RMxAA..21..381G" xr:uid="{00000000-0004-0000-0100-000014000000}"/>
    <hyperlink ref="AQ4877" r:id="rId22" display="http://cdsbib.u-strasbg.fr/cgi-bin/cdsbib?1990RMxAA..21..381G" xr:uid="{00000000-0004-0000-0100-000015000000}"/>
    <hyperlink ref="AQ64557" r:id="rId23" display="http://cdsbib.u-strasbg.fr/cgi-bin/cdsbib?1990RMxAA..21..381G" xr:uid="{00000000-0004-0000-0100-000016000000}"/>
    <hyperlink ref="I1765" r:id="rId24" display="http://vsolj.cetus-net.org/bulletin.html" xr:uid="{00000000-0004-0000-0100-000017000000}"/>
    <hyperlink ref="H1765" r:id="rId25" display="http://vsolj.cetus-net.org/bulletin.html" xr:uid="{00000000-0004-0000-0100-000018000000}"/>
    <hyperlink ref="AQ65218" r:id="rId26" display="http://cdsbib.u-strasbg.fr/cgi-bin/cdsbib?1990RMxAA..21..381G" xr:uid="{00000000-0004-0000-0100-000019000000}"/>
    <hyperlink ref="AQ65217" r:id="rId27" display="http://cdsbib.u-strasbg.fr/cgi-bin/cdsbib?1990RMxAA..21..381G" xr:uid="{00000000-0004-0000-0100-00001A000000}"/>
    <hyperlink ref="AP2935" r:id="rId28" display="http://cdsbib.u-strasbg.fr/cgi-bin/cdsbib?1990RMxAA..21..381G" xr:uid="{00000000-0004-0000-0100-00001B000000}"/>
    <hyperlink ref="AP2953" r:id="rId29" display="http://cdsbib.u-strasbg.fr/cgi-bin/cdsbib?1990RMxAA..21..381G" xr:uid="{00000000-0004-0000-0100-00001C000000}"/>
    <hyperlink ref="AP2954" r:id="rId30" display="http://cdsbib.u-strasbg.fr/cgi-bin/cdsbib?1990RMxAA..21..381G" xr:uid="{00000000-0004-0000-0100-00001D000000}"/>
    <hyperlink ref="AP2950" r:id="rId31" display="http://cdsbib.u-strasbg.fr/cgi-bin/cdsbib?1990RMxAA..21..381G" xr:uid="{00000000-0004-0000-01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Q50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27</v>
      </c>
      <c r="B2" t="s">
        <v>32</v>
      </c>
      <c r="C2" s="3"/>
      <c r="D2" s="3"/>
    </row>
    <row r="3" spans="1:7" ht="13.5" thickBot="1" x14ac:dyDescent="0.25">
      <c r="A3" s="37" t="s">
        <v>50</v>
      </c>
    </row>
    <row r="4" spans="1:7" ht="14.25" thickTop="1" thickBot="1" x14ac:dyDescent="0.25">
      <c r="A4" s="5" t="s">
        <v>3</v>
      </c>
      <c r="C4" s="8">
        <v>24161.971099999999</v>
      </c>
      <c r="D4" s="9">
        <v>0.44570100000000001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24161.971099999999</v>
      </c>
    </row>
    <row r="8" spans="1:7" x14ac:dyDescent="0.2">
      <c r="A8" t="s">
        <v>6</v>
      </c>
      <c r="C8">
        <v>0.44566594857405373</v>
      </c>
    </row>
    <row r="9" spans="1:7" x14ac:dyDescent="0.2">
      <c r="A9" s="13" t="s">
        <v>36</v>
      </c>
      <c r="B9" s="14"/>
      <c r="C9" s="15">
        <v>8</v>
      </c>
      <c r="D9" s="14" t="s">
        <v>37</v>
      </c>
      <c r="E9" s="14"/>
    </row>
    <row r="10" spans="1:7" ht="13.5" thickBot="1" x14ac:dyDescent="0.25">
      <c r="A10" s="14"/>
      <c r="B10" s="14"/>
      <c r="C10" s="4" t="s">
        <v>23</v>
      </c>
      <c r="D10" s="4" t="s">
        <v>24</v>
      </c>
      <c r="E10" s="14"/>
    </row>
    <row r="11" spans="1:7" x14ac:dyDescent="0.2">
      <c r="A11" s="14" t="s">
        <v>19</v>
      </c>
      <c r="B11" s="14"/>
      <c r="C11" s="16">
        <f ca="1">INTERCEPT(INDIRECT($G$11):G992,INDIRECT($F$11):F992)</f>
        <v>-0.50390312654813374</v>
      </c>
      <c r="D11" s="3"/>
      <c r="E11" s="14"/>
      <c r="F11" s="17" t="str">
        <f>"F"&amp;E19</f>
        <v>F22</v>
      </c>
      <c r="G11" s="18" t="str">
        <f>"G"&amp;E19</f>
        <v>G22</v>
      </c>
    </row>
    <row r="12" spans="1:7" x14ac:dyDescent="0.2">
      <c r="A12" s="14" t="s">
        <v>20</v>
      </c>
      <c r="B12" s="14"/>
      <c r="C12" s="16">
        <f ca="1">SLOPE(INDIRECT($G$11):G992,INDIRECT($F$11):F992)</f>
        <v>7.5062070642523976E-6</v>
      </c>
      <c r="D12" s="3"/>
      <c r="E12" s="14"/>
    </row>
    <row r="13" spans="1:7" x14ac:dyDescent="0.2">
      <c r="A13" s="14" t="s">
        <v>22</v>
      </c>
      <c r="B13" s="14"/>
      <c r="C13" s="3" t="s">
        <v>17</v>
      </c>
      <c r="D13" s="21" t="s">
        <v>48</v>
      </c>
      <c r="E13" s="15">
        <v>1</v>
      </c>
    </row>
    <row r="14" spans="1:7" x14ac:dyDescent="0.2">
      <c r="A14" s="14"/>
      <c r="B14" s="14"/>
      <c r="C14" s="14"/>
      <c r="D14" s="21" t="s">
        <v>38</v>
      </c>
      <c r="E14" s="22">
        <f ca="1">NOW()+15018.5+$C$9/24</f>
        <v>60326.512003240743</v>
      </c>
    </row>
    <row r="15" spans="1:7" x14ac:dyDescent="0.2">
      <c r="A15" s="19" t="s">
        <v>21</v>
      </c>
      <c r="B15" s="14"/>
      <c r="C15" s="20">
        <f ca="1">(C7+C11)+(C8+C12)*INT(MAX(F21:F3533))</f>
        <v>51543.64425862534</v>
      </c>
      <c r="D15" s="21" t="s">
        <v>49</v>
      </c>
      <c r="E15" s="22">
        <f ca="1">ROUND(2*(E14-$C$7)/$C$8,0)/2+E13</f>
        <v>81148</v>
      </c>
    </row>
    <row r="16" spans="1:7" x14ac:dyDescent="0.2">
      <c r="A16" s="23" t="s">
        <v>7</v>
      </c>
      <c r="B16" s="14"/>
      <c r="C16" s="24">
        <f ca="1">+C8+C12</f>
        <v>0.44567345478111797</v>
      </c>
      <c r="D16" s="21" t="s">
        <v>39</v>
      </c>
      <c r="E16" s="18">
        <f ca="1">ROUND(2*(E14-$C$15)/$C$16,0)/2+E13</f>
        <v>19708</v>
      </c>
    </row>
    <row r="17" spans="1:17" ht="13.5" thickBot="1" x14ac:dyDescent="0.25">
      <c r="A17" s="21" t="s">
        <v>40</v>
      </c>
      <c r="B17" s="14"/>
      <c r="C17" s="14">
        <f>COUNT(C21:C2191)</f>
        <v>18</v>
      </c>
      <c r="D17" s="21" t="s">
        <v>41</v>
      </c>
      <c r="E17" s="25">
        <f ca="1">+$C$15+$C$16*E16-15018.5-$C$9/24</f>
        <v>45308.143372118277</v>
      </c>
    </row>
    <row r="18" spans="1:17" x14ac:dyDescent="0.2">
      <c r="A18" s="23" t="s">
        <v>8</v>
      </c>
      <c r="B18" s="14"/>
      <c r="C18" s="26">
        <f ca="1">+C15</f>
        <v>51543.64425862534</v>
      </c>
      <c r="D18" s="27">
        <f ca="1">+C16</f>
        <v>0.44567345478111797</v>
      </c>
      <c r="E18" s="28" t="s">
        <v>42</v>
      </c>
    </row>
    <row r="19" spans="1:17" ht="13.5" thickTop="1" x14ac:dyDescent="0.2">
      <c r="A19" s="29" t="s">
        <v>43</v>
      </c>
      <c r="E19" s="30">
        <v>22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63</v>
      </c>
      <c r="J20" s="7" t="s">
        <v>62</v>
      </c>
      <c r="K20" s="7" t="s">
        <v>46</v>
      </c>
      <c r="L20" s="7" t="s">
        <v>28</v>
      </c>
      <c r="M20" s="7" t="s">
        <v>29</v>
      </c>
      <c r="N20" s="7" t="s">
        <v>64</v>
      </c>
      <c r="O20" s="7" t="s">
        <v>26</v>
      </c>
      <c r="P20" s="6" t="s">
        <v>25</v>
      </c>
      <c r="Q20" s="4" t="s">
        <v>18</v>
      </c>
    </row>
    <row r="21" spans="1:17" ht="13.5" thickBot="1" x14ac:dyDescent="0.25">
      <c r="A21" s="41" t="s">
        <v>15</v>
      </c>
      <c r="B21" s="42"/>
      <c r="C21" s="43">
        <f>+C4</f>
        <v>24161.971099999999</v>
      </c>
      <c r="D21" s="12" t="s">
        <v>17</v>
      </c>
      <c r="E21">
        <f t="shared" ref="E21:E38" si="0">+(C21-C$7)/C$8</f>
        <v>0</v>
      </c>
      <c r="F21">
        <v>1.5</v>
      </c>
      <c r="G21">
        <f t="shared" ref="G21:G38" si="1">+C21-(C$7+F21*C$8)</f>
        <v>-0.66849892285972601</v>
      </c>
      <c r="H21">
        <f>G21</f>
        <v>-0.66849892285972601</v>
      </c>
      <c r="N21">
        <f>G21</f>
        <v>-0.66849892285972601</v>
      </c>
      <c r="O21">
        <f t="shared" ref="O21:O38" ca="1" si="2">+C$11+C$12*$F21</f>
        <v>-0.50389186723753732</v>
      </c>
      <c r="Q21" s="2">
        <f t="shared" ref="Q21:Q38" si="3">+C21-15018.5</f>
        <v>9143.4710999999988</v>
      </c>
    </row>
    <row r="22" spans="1:17" x14ac:dyDescent="0.2">
      <c r="A22" s="38" t="s">
        <v>47</v>
      </c>
      <c r="B22" s="39" t="s">
        <v>35</v>
      </c>
      <c r="C22" s="40">
        <v>45089.3963</v>
      </c>
      <c r="D22" s="12" t="s">
        <v>45</v>
      </c>
      <c r="E22">
        <f t="shared" si="0"/>
        <v>46957.649035020702</v>
      </c>
      <c r="F22" s="31">
        <f>ROUND(2*E22,0)/2+0.5</f>
        <v>46958</v>
      </c>
      <c r="G22">
        <f t="shared" si="1"/>
        <v>-0.15641314040840371</v>
      </c>
      <c r="K22">
        <f t="shared" ref="K22:K38" si="4">+G22</f>
        <v>-0.15641314040840371</v>
      </c>
      <c r="N22">
        <f>G22</f>
        <v>-0.15641314040840371</v>
      </c>
      <c r="O22">
        <f t="shared" ca="1" si="2"/>
        <v>-0.15142665522496968</v>
      </c>
      <c r="Q22" s="2">
        <f t="shared" si="3"/>
        <v>30070.8963</v>
      </c>
    </row>
    <row r="23" spans="1:17" x14ac:dyDescent="0.2">
      <c r="A23" s="38" t="s">
        <v>47</v>
      </c>
      <c r="B23" s="39" t="s">
        <v>34</v>
      </c>
      <c r="C23" s="40">
        <v>45091.402000000002</v>
      </c>
      <c r="D23" s="12" t="s">
        <v>45</v>
      </c>
      <c r="E23">
        <f t="shared" si="0"/>
        <v>46962.149491038086</v>
      </c>
      <c r="F23" s="31">
        <f>ROUND(2*E23,0)/2+0.5</f>
        <v>46962.5</v>
      </c>
      <c r="G23">
        <f t="shared" si="1"/>
        <v>-0.15620990899333265</v>
      </c>
      <c r="K23">
        <f t="shared" si="4"/>
        <v>-0.15620990899333265</v>
      </c>
      <c r="N23">
        <f>G23</f>
        <v>-0.15620990899333265</v>
      </c>
      <c r="O23">
        <f t="shared" ca="1" si="2"/>
        <v>-0.15139287729318052</v>
      </c>
      <c r="Q23" s="2">
        <f t="shared" si="3"/>
        <v>30072.902000000002</v>
      </c>
    </row>
    <row r="24" spans="1:17" ht="13.5" thickBot="1" x14ac:dyDescent="0.25">
      <c r="A24" s="44" t="s">
        <v>47</v>
      </c>
      <c r="B24" s="45" t="s">
        <v>35</v>
      </c>
      <c r="C24" s="46">
        <v>45789.558700000001</v>
      </c>
      <c r="D24" s="12" t="s">
        <v>45</v>
      </c>
      <c r="E24">
        <f t="shared" si="0"/>
        <v>48528.696592592089</v>
      </c>
      <c r="F24" s="31">
        <f>ROUND(2*E24,0)/2+0.5</f>
        <v>48529</v>
      </c>
      <c r="G24">
        <f t="shared" si="1"/>
        <v>-0.13521835025312612</v>
      </c>
      <c r="K24">
        <f t="shared" si="4"/>
        <v>-0.13521835025312612</v>
      </c>
      <c r="N24">
        <f>G24</f>
        <v>-0.13521835025312612</v>
      </c>
      <c r="O24">
        <f t="shared" ca="1" si="2"/>
        <v>-0.13963440392702914</v>
      </c>
      <c r="Q24" s="2">
        <f t="shared" si="3"/>
        <v>30771.058700000001</v>
      </c>
    </row>
    <row r="25" spans="1:17" x14ac:dyDescent="0.2">
      <c r="A25" s="10" t="s">
        <v>33</v>
      </c>
      <c r="B25" s="11" t="s">
        <v>34</v>
      </c>
      <c r="C25" s="10">
        <v>50563.845300000161</v>
      </c>
      <c r="D25" s="10">
        <v>8.9999999999999998E-4</v>
      </c>
      <c r="E25">
        <f t="shared" si="0"/>
        <v>59241.39882006964</v>
      </c>
      <c r="F25">
        <f t="shared" ref="F25:F38" si="5">ROUND(2*E25,0)/2</f>
        <v>59241.5</v>
      </c>
      <c r="G25">
        <f t="shared" si="1"/>
        <v>-4.5092449639923871E-2</v>
      </c>
      <c r="K25">
        <f t="shared" si="4"/>
        <v>-4.5092449639923871E-2</v>
      </c>
      <c r="O25">
        <f t="shared" ca="1" si="2"/>
        <v>-5.922416075122533E-2</v>
      </c>
      <c r="Q25" s="2">
        <f t="shared" si="3"/>
        <v>35545.345300000161</v>
      </c>
    </row>
    <row r="26" spans="1:17" x14ac:dyDescent="0.2">
      <c r="A26" s="10" t="s">
        <v>33</v>
      </c>
      <c r="B26" s="11" t="s">
        <v>35</v>
      </c>
      <c r="C26" s="10">
        <v>50564.064699999988</v>
      </c>
      <c r="D26" s="10">
        <v>1E-3</v>
      </c>
      <c r="E26">
        <f t="shared" si="0"/>
        <v>59241.89111704797</v>
      </c>
      <c r="F26">
        <f t="shared" si="5"/>
        <v>59242</v>
      </c>
      <c r="G26">
        <f t="shared" si="1"/>
        <v>-4.8525424106628634E-2</v>
      </c>
      <c r="K26">
        <f t="shared" si="4"/>
        <v>-4.8525424106628634E-2</v>
      </c>
      <c r="N26">
        <f>G26</f>
        <v>-4.8525424106628634E-2</v>
      </c>
      <c r="O26">
        <f t="shared" ca="1" si="2"/>
        <v>-5.9220407647693207E-2</v>
      </c>
      <c r="Q26" s="2">
        <f t="shared" si="3"/>
        <v>35545.564699999988</v>
      </c>
    </row>
    <row r="27" spans="1:17" x14ac:dyDescent="0.2">
      <c r="A27" s="33" t="s">
        <v>44</v>
      </c>
      <c r="B27" s="35" t="s">
        <v>35</v>
      </c>
      <c r="C27" s="36">
        <v>50653.845300000001</v>
      </c>
      <c r="D27" s="12" t="s">
        <v>46</v>
      </c>
      <c r="E27">
        <f t="shared" si="0"/>
        <v>59443.343797665082</v>
      </c>
      <c r="F27">
        <f t="shared" si="5"/>
        <v>59443.5</v>
      </c>
      <c r="G27">
        <f t="shared" si="1"/>
        <v>-6.9614061765605584E-2</v>
      </c>
      <c r="K27">
        <f t="shared" si="4"/>
        <v>-6.9614061765605584E-2</v>
      </c>
      <c r="N27">
        <f>G27</f>
        <v>-6.9614061765605584E-2</v>
      </c>
      <c r="O27">
        <f t="shared" ca="1" si="2"/>
        <v>-5.7707906924246322E-2</v>
      </c>
      <c r="Q27" s="2">
        <f t="shared" si="3"/>
        <v>35635.345300000001</v>
      </c>
    </row>
    <row r="28" spans="1:17" x14ac:dyDescent="0.2">
      <c r="A28" s="32" t="s">
        <v>33</v>
      </c>
      <c r="B28" s="34" t="s">
        <v>34</v>
      </c>
      <c r="C28" s="32">
        <v>51267.549600000028</v>
      </c>
      <c r="D28" s="10">
        <v>5.9999999999999995E-4</v>
      </c>
      <c r="E28">
        <f t="shared" si="0"/>
        <v>60820.393810042347</v>
      </c>
      <c r="F28">
        <f t="shared" si="5"/>
        <v>60820.5</v>
      </c>
      <c r="G28">
        <f t="shared" si="1"/>
        <v>-4.7325248204288073E-2</v>
      </c>
      <c r="K28">
        <f t="shared" si="4"/>
        <v>-4.7325248204288073E-2</v>
      </c>
      <c r="O28">
        <f t="shared" ca="1" si="2"/>
        <v>-4.7371859796770777E-2</v>
      </c>
      <c r="Q28" s="2">
        <f t="shared" si="3"/>
        <v>36249.049600000028</v>
      </c>
    </row>
    <row r="29" spans="1:17" x14ac:dyDescent="0.2">
      <c r="A29" s="32" t="s">
        <v>33</v>
      </c>
      <c r="B29" s="34" t="s">
        <v>35</v>
      </c>
      <c r="C29" s="32">
        <v>51267.771999999881</v>
      </c>
      <c r="D29" s="10">
        <v>6.9999999999999999E-4</v>
      </c>
      <c r="E29">
        <f t="shared" si="0"/>
        <v>60820.892838519991</v>
      </c>
      <c r="F29">
        <f t="shared" si="5"/>
        <v>60821</v>
      </c>
      <c r="G29">
        <f t="shared" si="1"/>
        <v>-4.7758222644915804E-2</v>
      </c>
      <c r="K29">
        <f t="shared" si="4"/>
        <v>-4.7758222644915804E-2</v>
      </c>
      <c r="N29">
        <f>G29</f>
        <v>-4.7758222644915804E-2</v>
      </c>
      <c r="O29">
        <f t="shared" ca="1" si="2"/>
        <v>-4.7368106693238654E-2</v>
      </c>
      <c r="Q29" s="2">
        <f t="shared" si="3"/>
        <v>36249.271999999881</v>
      </c>
    </row>
    <row r="30" spans="1:17" x14ac:dyDescent="0.2">
      <c r="A30" s="32" t="s">
        <v>33</v>
      </c>
      <c r="B30" s="34" t="s">
        <v>34</v>
      </c>
      <c r="C30" s="32">
        <v>51543.418000000063</v>
      </c>
      <c r="D30" s="10">
        <v>2.3E-3</v>
      </c>
      <c r="E30">
        <f t="shared" si="0"/>
        <v>61439.396452902321</v>
      </c>
      <c r="F30">
        <f t="shared" si="5"/>
        <v>61439.5</v>
      </c>
      <c r="G30">
        <f t="shared" si="1"/>
        <v>-4.6147415509040002E-2</v>
      </c>
      <c r="K30">
        <f t="shared" si="4"/>
        <v>-4.6147415509040002E-2</v>
      </c>
      <c r="O30">
        <f t="shared" ca="1" si="2"/>
        <v>-4.2725517623998566E-2</v>
      </c>
      <c r="Q30" s="2">
        <f t="shared" si="3"/>
        <v>36524.918000000063</v>
      </c>
    </row>
    <row r="31" spans="1:17" x14ac:dyDescent="0.2">
      <c r="A31" s="32" t="s">
        <v>33</v>
      </c>
      <c r="B31" s="34" t="s">
        <v>35</v>
      </c>
      <c r="C31" s="32">
        <v>51543.635799999814</v>
      </c>
      <c r="D31" s="10">
        <v>1.9E-3</v>
      </c>
      <c r="E31">
        <f t="shared" si="0"/>
        <v>61439.885159747544</v>
      </c>
      <c r="F31">
        <f t="shared" si="5"/>
        <v>61440</v>
      </c>
      <c r="G31">
        <f t="shared" si="1"/>
        <v>-5.118039004446473E-2</v>
      </c>
      <c r="K31">
        <f t="shared" si="4"/>
        <v>-5.118039004446473E-2</v>
      </c>
      <c r="O31">
        <f t="shared" ca="1" si="2"/>
        <v>-4.2721764520466443E-2</v>
      </c>
      <c r="Q31" s="2">
        <f t="shared" si="3"/>
        <v>36525.135799999814</v>
      </c>
    </row>
    <row r="32" spans="1:17" x14ac:dyDescent="0.2">
      <c r="A32" t="s">
        <v>56</v>
      </c>
      <c r="B32" s="3" t="s">
        <v>34</v>
      </c>
      <c r="C32" s="12">
        <v>50563.845300000001</v>
      </c>
      <c r="D32" s="12" t="s">
        <v>62</v>
      </c>
      <c r="E32">
        <f t="shared" si="0"/>
        <v>59241.398820069277</v>
      </c>
      <c r="F32">
        <f t="shared" si="5"/>
        <v>59241.5</v>
      </c>
      <c r="G32">
        <f t="shared" si="1"/>
        <v>-4.5092449799994938E-2</v>
      </c>
      <c r="K32">
        <f t="shared" si="4"/>
        <v>-4.5092449799994938E-2</v>
      </c>
      <c r="O32">
        <f t="shared" ca="1" si="2"/>
        <v>-5.922416075122533E-2</v>
      </c>
      <c r="Q32" s="2">
        <f t="shared" si="3"/>
        <v>35545.345300000001</v>
      </c>
    </row>
    <row r="33" spans="1:17" x14ac:dyDescent="0.2">
      <c r="A33" t="s">
        <v>56</v>
      </c>
      <c r="B33" s="3" t="s">
        <v>35</v>
      </c>
      <c r="C33" s="12">
        <v>50564.064700000003</v>
      </c>
      <c r="D33" s="12" t="s">
        <v>62</v>
      </c>
      <c r="E33">
        <f t="shared" si="0"/>
        <v>59241.891117047999</v>
      </c>
      <c r="F33">
        <f t="shared" si="5"/>
        <v>59242</v>
      </c>
      <c r="G33">
        <f t="shared" si="1"/>
        <v>-4.8525424092076719E-2</v>
      </c>
      <c r="K33">
        <f t="shared" si="4"/>
        <v>-4.8525424092076719E-2</v>
      </c>
      <c r="O33">
        <f t="shared" ca="1" si="2"/>
        <v>-5.9220407647693207E-2</v>
      </c>
      <c r="Q33" s="2">
        <f t="shared" si="3"/>
        <v>35545.564700000003</v>
      </c>
    </row>
    <row r="34" spans="1:17" x14ac:dyDescent="0.2">
      <c r="A34" t="s">
        <v>56</v>
      </c>
      <c r="B34" s="3" t="s">
        <v>34</v>
      </c>
      <c r="C34" s="12">
        <v>51267.549599999998</v>
      </c>
      <c r="D34" s="12" t="s">
        <v>62</v>
      </c>
      <c r="E34">
        <f t="shared" si="0"/>
        <v>60820.393810042282</v>
      </c>
      <c r="F34">
        <f t="shared" si="5"/>
        <v>60820.5</v>
      </c>
      <c r="G34">
        <f t="shared" si="1"/>
        <v>-4.7325248233391903E-2</v>
      </c>
      <c r="K34">
        <f t="shared" si="4"/>
        <v>-4.7325248233391903E-2</v>
      </c>
      <c r="N34">
        <f>G34</f>
        <v>-4.7325248233391903E-2</v>
      </c>
      <c r="O34">
        <f t="shared" ca="1" si="2"/>
        <v>-4.7371859796770777E-2</v>
      </c>
      <c r="Q34" s="2">
        <f t="shared" si="3"/>
        <v>36249.049599999998</v>
      </c>
    </row>
    <row r="35" spans="1:17" x14ac:dyDescent="0.2">
      <c r="A35" t="s">
        <v>56</v>
      </c>
      <c r="B35" s="3" t="s">
        <v>35</v>
      </c>
      <c r="C35" s="12">
        <v>51267.771999999997</v>
      </c>
      <c r="D35" s="12" t="s">
        <v>62</v>
      </c>
      <c r="E35">
        <f t="shared" si="0"/>
        <v>60820.892838520253</v>
      </c>
      <c r="F35">
        <f t="shared" si="5"/>
        <v>60821</v>
      </c>
      <c r="G35">
        <f t="shared" si="1"/>
        <v>-4.7758222528500482E-2</v>
      </c>
      <c r="K35">
        <f t="shared" si="4"/>
        <v>-4.7758222528500482E-2</v>
      </c>
      <c r="O35">
        <f t="shared" ca="1" si="2"/>
        <v>-4.7368106693238654E-2</v>
      </c>
      <c r="Q35" s="2">
        <f t="shared" si="3"/>
        <v>36249.271999999997</v>
      </c>
    </row>
    <row r="36" spans="1:17" x14ac:dyDescent="0.2">
      <c r="A36" t="s">
        <v>59</v>
      </c>
      <c r="B36" s="3" t="s">
        <v>35</v>
      </c>
      <c r="C36" s="12">
        <v>51542.745000000003</v>
      </c>
      <c r="D36" s="12" t="s">
        <v>58</v>
      </c>
      <c r="E36">
        <f t="shared" si="0"/>
        <v>61437.886353236383</v>
      </c>
      <c r="F36">
        <f t="shared" si="5"/>
        <v>61438</v>
      </c>
      <c r="G36">
        <f t="shared" si="1"/>
        <v>-5.0648492710024584E-2</v>
      </c>
      <c r="K36">
        <f t="shared" si="4"/>
        <v>-5.0648492710024584E-2</v>
      </c>
      <c r="O36">
        <f t="shared" ca="1" si="2"/>
        <v>-4.2736776934594933E-2</v>
      </c>
      <c r="Q36" s="2">
        <f t="shared" si="3"/>
        <v>36524.245000000003</v>
      </c>
    </row>
    <row r="37" spans="1:17" x14ac:dyDescent="0.2">
      <c r="A37" t="s">
        <v>56</v>
      </c>
      <c r="B37" s="3" t="s">
        <v>34</v>
      </c>
      <c r="C37" s="12">
        <v>51543.417999999998</v>
      </c>
      <c r="D37" s="12" t="s">
        <v>62</v>
      </c>
      <c r="E37">
        <f t="shared" si="0"/>
        <v>61439.396452902176</v>
      </c>
      <c r="F37">
        <f t="shared" si="5"/>
        <v>61439.5</v>
      </c>
      <c r="G37">
        <f t="shared" si="1"/>
        <v>-4.614741557452362E-2</v>
      </c>
      <c r="K37">
        <f t="shared" si="4"/>
        <v>-4.614741557452362E-2</v>
      </c>
      <c r="N37">
        <f>G37</f>
        <v>-4.614741557452362E-2</v>
      </c>
      <c r="O37">
        <f t="shared" ca="1" si="2"/>
        <v>-4.2725517623998566E-2</v>
      </c>
      <c r="Q37" s="2">
        <f t="shared" si="3"/>
        <v>36524.917999999998</v>
      </c>
    </row>
    <row r="38" spans="1:17" x14ac:dyDescent="0.2">
      <c r="A38" t="s">
        <v>56</v>
      </c>
      <c r="B38" s="3" t="s">
        <v>35</v>
      </c>
      <c r="C38" s="12">
        <v>51543.635799999996</v>
      </c>
      <c r="D38" s="12" t="s">
        <v>62</v>
      </c>
      <c r="E38">
        <f t="shared" si="0"/>
        <v>61439.885159747952</v>
      </c>
      <c r="F38">
        <f t="shared" si="5"/>
        <v>61440</v>
      </c>
      <c r="G38">
        <f t="shared" si="1"/>
        <v>-5.1180389862565789E-2</v>
      </c>
      <c r="K38">
        <f t="shared" si="4"/>
        <v>-5.1180389862565789E-2</v>
      </c>
      <c r="N38">
        <f>G38</f>
        <v>-5.1180389862565789E-2</v>
      </c>
      <c r="O38">
        <f t="shared" ca="1" si="2"/>
        <v>-4.2721764520466443E-2</v>
      </c>
      <c r="Q38" s="2">
        <f t="shared" si="3"/>
        <v>36525.135799999996</v>
      </c>
    </row>
    <row r="39" spans="1:17" x14ac:dyDescent="0.2">
      <c r="D39" s="3"/>
    </row>
    <row r="40" spans="1:17" x14ac:dyDescent="0.2">
      <c r="D40" s="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  <row r="49" spans="4:4" x14ac:dyDescent="0.2">
      <c r="D49" s="3"/>
    </row>
    <row r="50" spans="4:4" x14ac:dyDescent="0.2">
      <c r="D50" s="3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C43" sqref="C43"/>
    </sheetView>
  </sheetViews>
  <sheetFormatPr defaultRowHeight="12.75" x14ac:dyDescent="0.2"/>
  <cols>
    <col min="1" max="1" width="18.5703125" customWidth="1"/>
    <col min="3" max="3" width="15.85546875" style="12" customWidth="1"/>
    <col min="5" max="5" width="19" customWidth="1"/>
  </cols>
  <sheetData>
    <row r="1" spans="1:14" x14ac:dyDescent="0.2">
      <c r="A1" t="s">
        <v>51</v>
      </c>
    </row>
    <row r="11" spans="1:14" x14ac:dyDescent="0.2">
      <c r="A11" t="s">
        <v>54</v>
      </c>
      <c r="B11" s="3" t="s">
        <v>34</v>
      </c>
      <c r="C11" s="12">
        <v>24161.971099999999</v>
      </c>
      <c r="D11" t="s">
        <v>52</v>
      </c>
      <c r="E11" t="e">
        <f>VLOOKUP(C11,#REF!,3,FALSE)</f>
        <v>#REF!</v>
      </c>
      <c r="G11">
        <v>0</v>
      </c>
      <c r="H11">
        <v>1E-4</v>
      </c>
      <c r="L11" t="s">
        <v>53</v>
      </c>
    </row>
    <row r="12" spans="1:14" x14ac:dyDescent="0.2">
      <c r="A12" t="s">
        <v>56</v>
      </c>
      <c r="B12" s="3" t="s">
        <v>34</v>
      </c>
      <c r="C12" s="12">
        <v>50563.845300000001</v>
      </c>
      <c r="D12" t="s">
        <v>62</v>
      </c>
      <c r="E12" t="e">
        <f>VLOOKUP(C12,#REF!,3,FALSE)</f>
        <v>#REF!</v>
      </c>
      <c r="G12">
        <v>59242</v>
      </c>
      <c r="H12">
        <v>-4.3E-3</v>
      </c>
      <c r="L12" t="s">
        <v>55</v>
      </c>
      <c r="N12" t="s">
        <v>57</v>
      </c>
    </row>
    <row r="13" spans="1:14" x14ac:dyDescent="0.2">
      <c r="A13" t="s">
        <v>56</v>
      </c>
      <c r="B13" s="3" t="s">
        <v>35</v>
      </c>
      <c r="C13" s="12">
        <v>50564.064700000003</v>
      </c>
      <c r="D13" t="s">
        <v>62</v>
      </c>
      <c r="E13" t="e">
        <f>VLOOKUP(C13,#REF!,3,FALSE)</f>
        <v>#REF!</v>
      </c>
      <c r="G13">
        <v>59242</v>
      </c>
      <c r="H13">
        <v>-7.9000000000000008E-3</v>
      </c>
      <c r="L13" t="s">
        <v>55</v>
      </c>
      <c r="N13" t="s">
        <v>57</v>
      </c>
    </row>
    <row r="14" spans="1:14" x14ac:dyDescent="0.2">
      <c r="A14" t="s">
        <v>56</v>
      </c>
      <c r="B14" s="3" t="s">
        <v>34</v>
      </c>
      <c r="C14" s="12">
        <v>51267.549599999998</v>
      </c>
      <c r="D14" t="s">
        <v>62</v>
      </c>
      <c r="E14" t="e">
        <f>VLOOKUP(C14,#REF!,3,FALSE)</f>
        <v>#REF!</v>
      </c>
      <c r="G14">
        <v>60821</v>
      </c>
      <c r="H14">
        <v>5.0000000000000001E-4</v>
      </c>
      <c r="L14" t="s">
        <v>55</v>
      </c>
      <c r="N14" t="s">
        <v>57</v>
      </c>
    </row>
    <row r="15" spans="1:14" x14ac:dyDescent="0.2">
      <c r="A15" t="s">
        <v>56</v>
      </c>
      <c r="B15" s="3" t="s">
        <v>35</v>
      </c>
      <c r="C15" s="12">
        <v>51267.771999999997</v>
      </c>
      <c r="D15" t="s">
        <v>62</v>
      </c>
      <c r="E15" t="e">
        <f>VLOOKUP(C15,#REF!,3,FALSE)</f>
        <v>#REF!</v>
      </c>
      <c r="G15">
        <v>60821</v>
      </c>
      <c r="H15">
        <v>-1E-4</v>
      </c>
      <c r="L15" t="s">
        <v>55</v>
      </c>
      <c r="N15" t="s">
        <v>57</v>
      </c>
    </row>
    <row r="16" spans="1:14" x14ac:dyDescent="0.2">
      <c r="A16" t="s">
        <v>60</v>
      </c>
      <c r="B16" s="3" t="s">
        <v>35</v>
      </c>
      <c r="C16" s="12">
        <v>51542.745000000003</v>
      </c>
      <c r="D16" t="s">
        <v>58</v>
      </c>
      <c r="E16" t="e">
        <f>VLOOKUP(C16,#REF!,3,FALSE)</f>
        <v>#REF!</v>
      </c>
      <c r="G16">
        <v>61438</v>
      </c>
      <c r="H16">
        <v>-2.0000000000000001E-4</v>
      </c>
      <c r="L16" t="s">
        <v>59</v>
      </c>
      <c r="N16" t="s">
        <v>61</v>
      </c>
    </row>
    <row r="17" spans="1:14" x14ac:dyDescent="0.2">
      <c r="A17" t="s">
        <v>56</v>
      </c>
      <c r="B17" s="3" t="s">
        <v>34</v>
      </c>
      <c r="C17" s="12">
        <v>51543.417999999998</v>
      </c>
      <c r="D17" t="s">
        <v>62</v>
      </c>
      <c r="E17" t="e">
        <f>VLOOKUP(C17,#REF!,3,FALSE)</f>
        <v>#REF!</v>
      </c>
      <c r="G17">
        <v>61440</v>
      </c>
      <c r="H17">
        <v>4.4000000000000003E-3</v>
      </c>
      <c r="L17" t="s">
        <v>55</v>
      </c>
      <c r="N17" t="s">
        <v>57</v>
      </c>
    </row>
    <row r="18" spans="1:14" x14ac:dyDescent="0.2">
      <c r="A18" t="s">
        <v>56</v>
      </c>
      <c r="B18" s="3" t="s">
        <v>35</v>
      </c>
      <c r="C18" s="12">
        <v>51543.635799999996</v>
      </c>
      <c r="D18" t="s">
        <v>62</v>
      </c>
      <c r="E18" t="e">
        <f>VLOOKUP(C18,#REF!,3,FALSE)</f>
        <v>#REF!</v>
      </c>
      <c r="G18">
        <v>61440</v>
      </c>
      <c r="H18">
        <v>-8.0000000000000004E-4</v>
      </c>
      <c r="L18" t="s">
        <v>55</v>
      </c>
      <c r="N18" t="s">
        <v>57</v>
      </c>
    </row>
  </sheetData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0"/>
  <sheetViews>
    <sheetView workbookViewId="0">
      <selection activeCell="F21" sqref="F2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27</v>
      </c>
      <c r="B2" t="s">
        <v>32</v>
      </c>
      <c r="C2" s="3"/>
      <c r="D2" s="3"/>
    </row>
    <row r="3" spans="1:7" ht="13.5" thickBot="1" x14ac:dyDescent="0.25">
      <c r="A3" s="37" t="s">
        <v>50</v>
      </c>
    </row>
    <row r="4" spans="1:7" ht="14.25" thickTop="1" thickBot="1" x14ac:dyDescent="0.25">
      <c r="A4" s="5" t="s">
        <v>3</v>
      </c>
      <c r="C4" s="8">
        <v>24161.971099999999</v>
      </c>
      <c r="D4" s="9">
        <v>0.44570100000000001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24161.971099999999</v>
      </c>
    </row>
    <row r="8" spans="1:7" x14ac:dyDescent="0.2">
      <c r="A8" t="s">
        <v>6</v>
      </c>
      <c r="C8">
        <v>0.44566594857405373</v>
      </c>
    </row>
    <row r="9" spans="1:7" x14ac:dyDescent="0.2">
      <c r="A9" s="13" t="s">
        <v>36</v>
      </c>
      <c r="B9" s="14"/>
      <c r="C9" s="15">
        <v>8</v>
      </c>
      <c r="D9" s="14" t="s">
        <v>37</v>
      </c>
      <c r="E9" s="14"/>
    </row>
    <row r="10" spans="1:7" ht="13.5" thickBot="1" x14ac:dyDescent="0.25">
      <c r="A10" s="14"/>
      <c r="B10" s="14"/>
      <c r="C10" s="4" t="s">
        <v>23</v>
      </c>
      <c r="D10" s="4" t="s">
        <v>24</v>
      </c>
      <c r="E10" s="14"/>
    </row>
    <row r="11" spans="1:7" x14ac:dyDescent="0.2">
      <c r="A11" s="14" t="s">
        <v>19</v>
      </c>
      <c r="B11" s="14"/>
      <c r="C11" s="16">
        <f ca="1">INTERCEPT(INDIRECT($G$11):G992,INDIRECT($F$11):F992)</f>
        <v>-0.50390312654813374</v>
      </c>
      <c r="D11" s="3"/>
      <c r="E11" s="14"/>
      <c r="F11" s="17" t="str">
        <f>"F"&amp;E19</f>
        <v>F22</v>
      </c>
      <c r="G11" s="18" t="str">
        <f>"G"&amp;E19</f>
        <v>G22</v>
      </c>
    </row>
    <row r="12" spans="1:7" x14ac:dyDescent="0.2">
      <c r="A12" s="14" t="s">
        <v>20</v>
      </c>
      <c r="B12" s="14"/>
      <c r="C12" s="16">
        <f ca="1">SLOPE(INDIRECT($G$11):G992,INDIRECT($F$11):F992)</f>
        <v>7.5062070642523976E-6</v>
      </c>
      <c r="D12" s="3"/>
      <c r="E12" s="14"/>
    </row>
    <row r="13" spans="1:7" x14ac:dyDescent="0.2">
      <c r="A13" s="14" t="s">
        <v>22</v>
      </c>
      <c r="B13" s="14"/>
      <c r="C13" s="3" t="s">
        <v>17</v>
      </c>
      <c r="D13" s="21" t="s">
        <v>48</v>
      </c>
      <c r="E13" s="15">
        <v>1</v>
      </c>
    </row>
    <row r="14" spans="1:7" x14ac:dyDescent="0.2">
      <c r="A14" s="14"/>
      <c r="B14" s="14"/>
      <c r="C14" s="14"/>
      <c r="D14" s="21" t="s">
        <v>38</v>
      </c>
      <c r="E14" s="22">
        <f ca="1">NOW()+15018.5+$C$9/24</f>
        <v>60326.512003240743</v>
      </c>
    </row>
    <row r="15" spans="1:7" x14ac:dyDescent="0.2">
      <c r="A15" s="19" t="s">
        <v>21</v>
      </c>
      <c r="B15" s="14"/>
      <c r="C15" s="20">
        <f ca="1">(C7+C11)+(C8+C12)*INT(MAX(F21:F3533))</f>
        <v>51543.64425862534</v>
      </c>
      <c r="D15" s="21" t="s">
        <v>49</v>
      </c>
      <c r="E15" s="22">
        <f ca="1">ROUND(2*(E14-$C$7)/$C$8,0)/2+E13</f>
        <v>81148</v>
      </c>
    </row>
    <row r="16" spans="1:7" x14ac:dyDescent="0.2">
      <c r="A16" s="23" t="s">
        <v>7</v>
      </c>
      <c r="B16" s="14"/>
      <c r="C16" s="24">
        <f ca="1">+C8+C12</f>
        <v>0.44567345478111797</v>
      </c>
      <c r="D16" s="21" t="s">
        <v>39</v>
      </c>
      <c r="E16" s="18">
        <f ca="1">ROUND(2*(E14-$C$15)/$C$16,0)/2+E13</f>
        <v>19708</v>
      </c>
    </row>
    <row r="17" spans="1:17" ht="13.5" thickBot="1" x14ac:dyDescent="0.25">
      <c r="A17" s="21" t="s">
        <v>40</v>
      </c>
      <c r="B17" s="14"/>
      <c r="C17" s="14">
        <f>COUNT(C21:C2191)</f>
        <v>18</v>
      </c>
      <c r="D17" s="21" t="s">
        <v>41</v>
      </c>
      <c r="E17" s="25">
        <f ca="1">+$C$15+$C$16*E16-15018.5-$C$9/24</f>
        <v>45308.143372118277</v>
      </c>
    </row>
    <row r="18" spans="1:17" x14ac:dyDescent="0.2">
      <c r="A18" s="23" t="s">
        <v>8</v>
      </c>
      <c r="B18" s="14"/>
      <c r="C18" s="26">
        <f ca="1">+C15</f>
        <v>51543.64425862534</v>
      </c>
      <c r="D18" s="27">
        <f ca="1">+C16</f>
        <v>0.44567345478111797</v>
      </c>
      <c r="E18" s="28" t="s">
        <v>42</v>
      </c>
    </row>
    <row r="19" spans="1:17" ht="13.5" thickTop="1" x14ac:dyDescent="0.2">
      <c r="A19" s="29" t="s">
        <v>43</v>
      </c>
      <c r="E19" s="30">
        <v>22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63</v>
      </c>
      <c r="J20" s="7" t="s">
        <v>62</v>
      </c>
      <c r="K20" s="7" t="s">
        <v>46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15</v>
      </c>
      <c r="B21" s="3"/>
      <c r="C21" s="12">
        <f>+C4</f>
        <v>24161.971099999999</v>
      </c>
      <c r="D21" s="12" t="s">
        <v>17</v>
      </c>
      <c r="E21">
        <f t="shared" ref="E21:E31" si="0">+(C21-C$7)/C$8</f>
        <v>0</v>
      </c>
      <c r="F21">
        <f>ROUND(2*E21,0)/2+1</f>
        <v>1</v>
      </c>
      <c r="G21">
        <f t="shared" ref="G21:G31" si="1">+C21-(C$7+F21*C$8)</f>
        <v>-0.44566594857315067</v>
      </c>
      <c r="H21">
        <f>G21</f>
        <v>-0.44566594857315067</v>
      </c>
      <c r="O21">
        <f t="shared" ref="O21:O31" ca="1" si="2">+C$11+C$12*$F21</f>
        <v>-0.50389562034106949</v>
      </c>
      <c r="Q21" s="2">
        <f t="shared" ref="Q21:Q31" si="3">+C21-15018.5</f>
        <v>9143.4710999999988</v>
      </c>
    </row>
    <row r="22" spans="1:17" x14ac:dyDescent="0.2">
      <c r="A22" s="38" t="s">
        <v>47</v>
      </c>
      <c r="B22" s="39" t="s">
        <v>35</v>
      </c>
      <c r="C22" s="40">
        <v>45089.3963</v>
      </c>
      <c r="D22" s="12" t="s">
        <v>45</v>
      </c>
      <c r="E22">
        <f t="shared" si="0"/>
        <v>46957.649035020702</v>
      </c>
      <c r="F22" s="31">
        <f>ROUND(2*E22,0)/2+0.5</f>
        <v>46958</v>
      </c>
      <c r="G22">
        <f t="shared" si="1"/>
        <v>-0.15641314040840371</v>
      </c>
      <c r="K22">
        <f t="shared" ref="K22:K38" si="4">+G22</f>
        <v>-0.15641314040840371</v>
      </c>
      <c r="O22">
        <f t="shared" ca="1" si="2"/>
        <v>-0.15142665522496968</v>
      </c>
      <c r="Q22" s="2">
        <f t="shared" si="3"/>
        <v>30070.8963</v>
      </c>
    </row>
    <row r="23" spans="1:17" x14ac:dyDescent="0.2">
      <c r="A23" s="38" t="s">
        <v>47</v>
      </c>
      <c r="B23" s="39" t="s">
        <v>34</v>
      </c>
      <c r="C23" s="40">
        <v>45091.402000000002</v>
      </c>
      <c r="D23" s="12" t="s">
        <v>45</v>
      </c>
      <c r="E23">
        <f t="shared" si="0"/>
        <v>46962.149491038086</v>
      </c>
      <c r="F23" s="31">
        <f>ROUND(2*E23,0)/2+0.5</f>
        <v>46962.5</v>
      </c>
      <c r="G23">
        <f t="shared" si="1"/>
        <v>-0.15620990899333265</v>
      </c>
      <c r="K23">
        <f t="shared" si="4"/>
        <v>-0.15620990899333265</v>
      </c>
      <c r="O23">
        <f t="shared" ca="1" si="2"/>
        <v>-0.15139287729318052</v>
      </c>
      <c r="Q23" s="2">
        <f t="shared" si="3"/>
        <v>30072.902000000002</v>
      </c>
    </row>
    <row r="24" spans="1:17" x14ac:dyDescent="0.2">
      <c r="A24" s="38" t="s">
        <v>47</v>
      </c>
      <c r="B24" s="39" t="s">
        <v>35</v>
      </c>
      <c r="C24" s="40">
        <v>45789.558700000001</v>
      </c>
      <c r="D24" s="12" t="s">
        <v>45</v>
      </c>
      <c r="E24">
        <f t="shared" si="0"/>
        <v>48528.696592592089</v>
      </c>
      <c r="F24" s="31">
        <f>ROUND(2*E24,0)/2+0.5</f>
        <v>48529</v>
      </c>
      <c r="G24">
        <f t="shared" si="1"/>
        <v>-0.13521835025312612</v>
      </c>
      <c r="K24">
        <f t="shared" si="4"/>
        <v>-0.13521835025312612</v>
      </c>
      <c r="O24">
        <f t="shared" ca="1" si="2"/>
        <v>-0.13963440392702914</v>
      </c>
      <c r="Q24" s="2">
        <f t="shared" si="3"/>
        <v>30771.058700000001</v>
      </c>
    </row>
    <row r="25" spans="1:17" x14ac:dyDescent="0.2">
      <c r="A25" s="10" t="s">
        <v>33</v>
      </c>
      <c r="B25" s="11" t="s">
        <v>34</v>
      </c>
      <c r="C25" s="10">
        <v>50563.845300000161</v>
      </c>
      <c r="D25" s="10">
        <v>8.9999999999999998E-4</v>
      </c>
      <c r="E25">
        <f t="shared" si="0"/>
        <v>59241.39882006964</v>
      </c>
      <c r="F25">
        <f t="shared" ref="F25:F38" si="5">ROUND(2*E25,0)/2</f>
        <v>59241.5</v>
      </c>
      <c r="G25">
        <f t="shared" si="1"/>
        <v>-4.5092449639923871E-2</v>
      </c>
      <c r="K25">
        <f t="shared" si="4"/>
        <v>-4.5092449639923871E-2</v>
      </c>
      <c r="O25">
        <f t="shared" ca="1" si="2"/>
        <v>-5.922416075122533E-2</v>
      </c>
      <c r="Q25" s="2">
        <f t="shared" si="3"/>
        <v>35545.345300000161</v>
      </c>
    </row>
    <row r="26" spans="1:17" x14ac:dyDescent="0.2">
      <c r="A26" s="10" t="s">
        <v>33</v>
      </c>
      <c r="B26" s="11" t="s">
        <v>35</v>
      </c>
      <c r="C26" s="10">
        <v>50564.064699999988</v>
      </c>
      <c r="D26" s="10">
        <v>1E-3</v>
      </c>
      <c r="E26">
        <f t="shared" si="0"/>
        <v>59241.89111704797</v>
      </c>
      <c r="F26">
        <f t="shared" si="5"/>
        <v>59242</v>
      </c>
      <c r="G26">
        <f t="shared" si="1"/>
        <v>-4.8525424106628634E-2</v>
      </c>
      <c r="K26">
        <f t="shared" si="4"/>
        <v>-4.8525424106628634E-2</v>
      </c>
      <c r="O26">
        <f t="shared" ca="1" si="2"/>
        <v>-5.9220407647693207E-2</v>
      </c>
      <c r="Q26" s="2">
        <f t="shared" si="3"/>
        <v>35545.564699999988</v>
      </c>
    </row>
    <row r="27" spans="1:17" x14ac:dyDescent="0.2">
      <c r="A27" s="33" t="s">
        <v>44</v>
      </c>
      <c r="B27" s="35" t="s">
        <v>35</v>
      </c>
      <c r="C27" s="36">
        <v>50653.845300000001</v>
      </c>
      <c r="D27" s="12" t="s">
        <v>46</v>
      </c>
      <c r="E27">
        <f t="shared" si="0"/>
        <v>59443.343797665082</v>
      </c>
      <c r="F27">
        <f t="shared" si="5"/>
        <v>59443.5</v>
      </c>
      <c r="G27">
        <f t="shared" si="1"/>
        <v>-6.9614061765605584E-2</v>
      </c>
      <c r="K27">
        <f t="shared" si="4"/>
        <v>-6.9614061765605584E-2</v>
      </c>
      <c r="O27">
        <f t="shared" ca="1" si="2"/>
        <v>-5.7707906924246322E-2</v>
      </c>
      <c r="Q27" s="2">
        <f t="shared" si="3"/>
        <v>35635.345300000001</v>
      </c>
    </row>
    <row r="28" spans="1:17" x14ac:dyDescent="0.2">
      <c r="A28" s="32" t="s">
        <v>33</v>
      </c>
      <c r="B28" s="34" t="s">
        <v>34</v>
      </c>
      <c r="C28" s="32">
        <v>51267.549600000028</v>
      </c>
      <c r="D28" s="10">
        <v>5.9999999999999995E-4</v>
      </c>
      <c r="E28">
        <f t="shared" si="0"/>
        <v>60820.393810042347</v>
      </c>
      <c r="F28">
        <f t="shared" si="5"/>
        <v>60820.5</v>
      </c>
      <c r="G28">
        <f t="shared" si="1"/>
        <v>-4.7325248204288073E-2</v>
      </c>
      <c r="K28">
        <f t="shared" si="4"/>
        <v>-4.7325248204288073E-2</v>
      </c>
      <c r="O28">
        <f t="shared" ca="1" si="2"/>
        <v>-4.7371859796770777E-2</v>
      </c>
      <c r="Q28" s="2">
        <f t="shared" si="3"/>
        <v>36249.049600000028</v>
      </c>
    </row>
    <row r="29" spans="1:17" x14ac:dyDescent="0.2">
      <c r="A29" s="32" t="s">
        <v>33</v>
      </c>
      <c r="B29" s="34" t="s">
        <v>35</v>
      </c>
      <c r="C29" s="32">
        <v>51267.771999999881</v>
      </c>
      <c r="D29" s="10">
        <v>6.9999999999999999E-4</v>
      </c>
      <c r="E29">
        <f t="shared" si="0"/>
        <v>60820.892838519991</v>
      </c>
      <c r="F29">
        <f t="shared" si="5"/>
        <v>60821</v>
      </c>
      <c r="G29">
        <f t="shared" si="1"/>
        <v>-4.7758222644915804E-2</v>
      </c>
      <c r="K29">
        <f t="shared" si="4"/>
        <v>-4.7758222644915804E-2</v>
      </c>
      <c r="O29">
        <f t="shared" ca="1" si="2"/>
        <v>-4.7368106693238654E-2</v>
      </c>
      <c r="Q29" s="2">
        <f t="shared" si="3"/>
        <v>36249.271999999881</v>
      </c>
    </row>
    <row r="30" spans="1:17" x14ac:dyDescent="0.2">
      <c r="A30" s="32" t="s">
        <v>33</v>
      </c>
      <c r="B30" s="34" t="s">
        <v>34</v>
      </c>
      <c r="C30" s="32">
        <v>51543.418000000063</v>
      </c>
      <c r="D30" s="10">
        <v>2.3E-3</v>
      </c>
      <c r="E30">
        <f t="shared" si="0"/>
        <v>61439.396452902321</v>
      </c>
      <c r="F30">
        <f t="shared" si="5"/>
        <v>61439.5</v>
      </c>
      <c r="G30">
        <f t="shared" si="1"/>
        <v>-4.6147415509040002E-2</v>
      </c>
      <c r="K30">
        <f t="shared" si="4"/>
        <v>-4.6147415509040002E-2</v>
      </c>
      <c r="O30">
        <f t="shared" ca="1" si="2"/>
        <v>-4.2725517623998566E-2</v>
      </c>
      <c r="Q30" s="2">
        <f t="shared" si="3"/>
        <v>36524.918000000063</v>
      </c>
    </row>
    <row r="31" spans="1:17" x14ac:dyDescent="0.2">
      <c r="A31" s="32" t="s">
        <v>33</v>
      </c>
      <c r="B31" s="34" t="s">
        <v>35</v>
      </c>
      <c r="C31" s="32">
        <v>51543.635799999814</v>
      </c>
      <c r="D31" s="10">
        <v>1.9E-3</v>
      </c>
      <c r="E31">
        <f t="shared" si="0"/>
        <v>61439.885159747544</v>
      </c>
      <c r="F31">
        <f t="shared" si="5"/>
        <v>61440</v>
      </c>
      <c r="G31">
        <f t="shared" si="1"/>
        <v>-5.118039004446473E-2</v>
      </c>
      <c r="K31">
        <f t="shared" si="4"/>
        <v>-5.118039004446473E-2</v>
      </c>
      <c r="O31">
        <f t="shared" ca="1" si="2"/>
        <v>-4.2721764520466443E-2</v>
      </c>
      <c r="Q31" s="2">
        <f t="shared" si="3"/>
        <v>36525.135799999814</v>
      </c>
    </row>
    <row r="32" spans="1:17" x14ac:dyDescent="0.2">
      <c r="A32" t="s">
        <v>56</v>
      </c>
      <c r="B32" s="3" t="s">
        <v>34</v>
      </c>
      <c r="C32" s="12">
        <v>50563.845300000001</v>
      </c>
      <c r="D32" s="12" t="s">
        <v>62</v>
      </c>
      <c r="E32">
        <f t="shared" ref="E32:E38" si="6">+(C32-C$7)/C$8</f>
        <v>59241.398820069277</v>
      </c>
      <c r="F32">
        <f t="shared" si="5"/>
        <v>59241.5</v>
      </c>
      <c r="G32">
        <f t="shared" ref="G32:G38" si="7">+C32-(C$7+F32*C$8)</f>
        <v>-4.5092449799994938E-2</v>
      </c>
      <c r="K32">
        <f t="shared" si="4"/>
        <v>-4.5092449799994938E-2</v>
      </c>
      <c r="O32">
        <f t="shared" ref="O32:O38" ca="1" si="8">+C$11+C$12*$F32</f>
        <v>-5.922416075122533E-2</v>
      </c>
      <c r="Q32" s="2">
        <f t="shared" ref="Q32:Q38" si="9">+C32-15018.5</f>
        <v>35545.345300000001</v>
      </c>
    </row>
    <row r="33" spans="1:17" x14ac:dyDescent="0.2">
      <c r="A33" t="s">
        <v>56</v>
      </c>
      <c r="B33" s="3" t="s">
        <v>35</v>
      </c>
      <c r="C33" s="12">
        <v>50564.064700000003</v>
      </c>
      <c r="D33" s="12" t="s">
        <v>62</v>
      </c>
      <c r="E33">
        <f t="shared" si="6"/>
        <v>59241.891117047999</v>
      </c>
      <c r="F33">
        <f t="shared" si="5"/>
        <v>59242</v>
      </c>
      <c r="G33">
        <f t="shared" si="7"/>
        <v>-4.8525424092076719E-2</v>
      </c>
      <c r="K33">
        <f t="shared" si="4"/>
        <v>-4.8525424092076719E-2</v>
      </c>
      <c r="O33">
        <f t="shared" ca="1" si="8"/>
        <v>-5.9220407647693207E-2</v>
      </c>
      <c r="Q33" s="2">
        <f t="shared" si="9"/>
        <v>35545.564700000003</v>
      </c>
    </row>
    <row r="34" spans="1:17" x14ac:dyDescent="0.2">
      <c r="A34" t="s">
        <v>56</v>
      </c>
      <c r="B34" s="3" t="s">
        <v>34</v>
      </c>
      <c r="C34" s="12">
        <v>51267.549599999998</v>
      </c>
      <c r="D34" s="12" t="s">
        <v>62</v>
      </c>
      <c r="E34">
        <f t="shared" si="6"/>
        <v>60820.393810042282</v>
      </c>
      <c r="F34">
        <f t="shared" si="5"/>
        <v>60820.5</v>
      </c>
      <c r="G34">
        <f t="shared" si="7"/>
        <v>-4.7325248233391903E-2</v>
      </c>
      <c r="K34">
        <f t="shared" si="4"/>
        <v>-4.7325248233391903E-2</v>
      </c>
      <c r="O34">
        <f t="shared" ca="1" si="8"/>
        <v>-4.7371859796770777E-2</v>
      </c>
      <c r="Q34" s="2">
        <f t="shared" si="9"/>
        <v>36249.049599999998</v>
      </c>
    </row>
    <row r="35" spans="1:17" x14ac:dyDescent="0.2">
      <c r="A35" t="s">
        <v>56</v>
      </c>
      <c r="B35" s="3" t="s">
        <v>35</v>
      </c>
      <c r="C35" s="12">
        <v>51267.771999999997</v>
      </c>
      <c r="D35" s="12" t="s">
        <v>62</v>
      </c>
      <c r="E35">
        <f t="shared" si="6"/>
        <v>60820.892838520253</v>
      </c>
      <c r="F35">
        <f t="shared" si="5"/>
        <v>60821</v>
      </c>
      <c r="G35">
        <f t="shared" si="7"/>
        <v>-4.7758222528500482E-2</v>
      </c>
      <c r="K35">
        <f t="shared" si="4"/>
        <v>-4.7758222528500482E-2</v>
      </c>
      <c r="O35">
        <f t="shared" ca="1" si="8"/>
        <v>-4.7368106693238654E-2</v>
      </c>
      <c r="Q35" s="2">
        <f t="shared" si="9"/>
        <v>36249.271999999997</v>
      </c>
    </row>
    <row r="36" spans="1:17" x14ac:dyDescent="0.2">
      <c r="A36" t="s">
        <v>59</v>
      </c>
      <c r="B36" s="3" t="s">
        <v>35</v>
      </c>
      <c r="C36" s="12">
        <v>51542.745000000003</v>
      </c>
      <c r="D36" s="12" t="s">
        <v>58</v>
      </c>
      <c r="E36">
        <f t="shared" si="6"/>
        <v>61437.886353236383</v>
      </c>
      <c r="F36">
        <f t="shared" si="5"/>
        <v>61438</v>
      </c>
      <c r="G36">
        <f t="shared" si="7"/>
        <v>-5.0648492710024584E-2</v>
      </c>
      <c r="K36">
        <f t="shared" si="4"/>
        <v>-5.0648492710024584E-2</v>
      </c>
      <c r="O36">
        <f t="shared" ca="1" si="8"/>
        <v>-4.2736776934594933E-2</v>
      </c>
      <c r="Q36" s="2">
        <f t="shared" si="9"/>
        <v>36524.245000000003</v>
      </c>
    </row>
    <row r="37" spans="1:17" x14ac:dyDescent="0.2">
      <c r="A37" t="s">
        <v>56</v>
      </c>
      <c r="B37" s="3" t="s">
        <v>34</v>
      </c>
      <c r="C37" s="12">
        <v>51543.417999999998</v>
      </c>
      <c r="D37" s="12" t="s">
        <v>62</v>
      </c>
      <c r="E37">
        <f t="shared" si="6"/>
        <v>61439.396452902176</v>
      </c>
      <c r="F37">
        <f t="shared" si="5"/>
        <v>61439.5</v>
      </c>
      <c r="G37">
        <f t="shared" si="7"/>
        <v>-4.614741557452362E-2</v>
      </c>
      <c r="K37">
        <f t="shared" si="4"/>
        <v>-4.614741557452362E-2</v>
      </c>
      <c r="O37">
        <f t="shared" ca="1" si="8"/>
        <v>-4.2725517623998566E-2</v>
      </c>
      <c r="Q37" s="2">
        <f t="shared" si="9"/>
        <v>36524.917999999998</v>
      </c>
    </row>
    <row r="38" spans="1:17" x14ac:dyDescent="0.2">
      <c r="A38" t="s">
        <v>56</v>
      </c>
      <c r="B38" s="3" t="s">
        <v>35</v>
      </c>
      <c r="C38" s="12">
        <v>51543.635799999996</v>
      </c>
      <c r="D38" s="12" t="s">
        <v>62</v>
      </c>
      <c r="E38">
        <f t="shared" si="6"/>
        <v>61439.885159747952</v>
      </c>
      <c r="F38">
        <f t="shared" si="5"/>
        <v>61440</v>
      </c>
      <c r="G38">
        <f t="shared" si="7"/>
        <v>-5.1180389862565789E-2</v>
      </c>
      <c r="K38">
        <f t="shared" si="4"/>
        <v>-5.1180389862565789E-2</v>
      </c>
      <c r="O38">
        <f t="shared" ca="1" si="8"/>
        <v>-4.2721764520466443E-2</v>
      </c>
      <c r="Q38" s="2">
        <f t="shared" si="9"/>
        <v>36525.135799999996</v>
      </c>
    </row>
    <row r="39" spans="1:17" x14ac:dyDescent="0.2">
      <c r="D39" s="3"/>
    </row>
    <row r="40" spans="1:17" x14ac:dyDescent="0.2">
      <c r="D40" s="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  <row r="49" spans="4:4" x14ac:dyDescent="0.2">
      <c r="D49" s="3"/>
    </row>
    <row r="50" spans="4:4" x14ac:dyDescent="0.2">
      <c r="D50" s="3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B (2)</vt:lpstr>
      <vt:lpstr>O-C_Gateway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2024-01-16T05:47:17Z</dcterms:modified>
</cp:coreProperties>
</file>