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EABBA17-E967-4047-BC04-7B22A44A3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/>
  <c r="G34" i="1" s="1"/>
  <c r="K34" i="1" s="1"/>
  <c r="Q34" i="1"/>
  <c r="E35" i="1"/>
  <c r="F35" i="1" s="1"/>
  <c r="G35" i="1" s="1"/>
  <c r="K35" i="1" s="1"/>
  <c r="Q35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 s="1"/>
  <c r="G33" i="1" s="1"/>
  <c r="K33" i="1" s="1"/>
  <c r="Q33" i="1"/>
  <c r="C21" i="1"/>
  <c r="C17" i="1"/>
  <c r="C9" i="1"/>
  <c r="D9" i="1"/>
  <c r="A21" i="1"/>
  <c r="F16" i="1"/>
  <c r="F17" i="1" s="1"/>
  <c r="E21" i="1"/>
  <c r="F21" i="1" s="1"/>
  <c r="G21" i="1" s="1"/>
  <c r="I21" i="1" s="1"/>
  <c r="Q21" i="1"/>
  <c r="C11" i="1"/>
  <c r="C12" i="1"/>
  <c r="O35" i="1" l="1"/>
  <c r="O34" i="1"/>
  <c r="C16" i="1"/>
  <c r="D18" i="1" s="1"/>
  <c r="O22" i="1"/>
  <c r="O32" i="1"/>
  <c r="O33" i="1"/>
  <c r="O30" i="1"/>
  <c r="O23" i="1"/>
  <c r="O21" i="1"/>
  <c r="O25" i="1"/>
  <c r="O27" i="1"/>
  <c r="O26" i="1"/>
  <c r="O24" i="1"/>
  <c r="O31" i="1"/>
  <c r="C15" i="1"/>
  <c r="O28" i="1"/>
  <c r="O29" i="1"/>
  <c r="F18" i="1" l="1"/>
  <c r="F19" i="1" s="1"/>
  <c r="C18" i="1"/>
</calcChain>
</file>

<file path=xl/sharedStrings.xml><?xml version="1.0" encoding="utf-8"?>
<sst xmlns="http://schemas.openxmlformats.org/spreadsheetml/2006/main" count="81" uniqueCount="52">
  <si>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</si>
  <si>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</si>
  <si>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</si>
  <si>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</si>
  <si>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</si>
  <si>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</si>
  <si>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</si>
  <si>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</si>
  <si>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</si>
  <si>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</si>
  <si>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</si>
  <si>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</si>
  <si>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</si>
  <si>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</si>
  <si>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</si>
  <si>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</si>
  <si>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</si>
  <si>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</si>
  <si>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</si>
  <si>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</si>
  <si>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</si>
  <si>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</si>
  <si>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</si>
  <si>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</si>
  <si>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</si>
  <si>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</si>
  <si>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</si>
  <si>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</si>
  <si>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</si>
  <si>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</si>
  <si>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</si>
  <si>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</si>
  <si>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</si>
  <si>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</si>
  <si>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</si>
  <si>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</si>
  <si>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</si>
  <si>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</si>
  <si>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</si>
  <si>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</si>
  <si>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</si>
  <si>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</si>
  <si>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EI Oct</t>
  </si>
  <si>
    <t>2013a</t>
  </si>
  <si>
    <t>G9516-1390</t>
  </si>
  <si>
    <t>EW</t>
  </si>
  <si>
    <t>EI Oct / G9516-1390</t>
  </si>
  <si>
    <t>JAVSO 49, 251</t>
  </si>
  <si>
    <t>II</t>
  </si>
  <si>
    <t>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</si>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</sst>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EI</a:t>
            </a:r>
            <a:r>
              <a:rPr lang="en-AU" baseline="0"/>
              <a:t> Oct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Active!$D$21:$D$227</c:f>
                <c:numCache>
                  <c:formatCode>General</c:formatCode>
                  <c:ptCount val="20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00-49C2-BF6C-570D828B07E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0-49C2-BF6C-570D828B07E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00-49C2-BF6C-570D828B07E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1">
                  <c:v>-5.4379499997594394E-2</c:v>
                </c:pt>
                <c:pt idx="2">
                  <c:v>-5.3499000001465902E-2</c:v>
                </c:pt>
                <c:pt idx="3">
                  <c:v>-5.3038000005471986E-2</c:v>
                </c:pt>
                <c:pt idx="4">
                  <c:v>-5.2778000004764181E-2</c:v>
                </c:pt>
                <c:pt idx="5">
                  <c:v>-5.2768000001378823E-2</c:v>
                </c:pt>
                <c:pt idx="6">
                  <c:v>-5.46875E-2</c:v>
                </c:pt>
                <c:pt idx="7">
                  <c:v>-5.3677500000048894E-2</c:v>
                </c:pt>
                <c:pt idx="8">
                  <c:v>-5.3647500004444737E-2</c:v>
                </c:pt>
                <c:pt idx="9">
                  <c:v>-5.2744500004337169E-2</c:v>
                </c:pt>
                <c:pt idx="10">
                  <c:v>-5.2933999999368098E-2</c:v>
                </c:pt>
                <c:pt idx="11">
                  <c:v>-5.255849999957718E-2</c:v>
                </c:pt>
                <c:pt idx="12">
                  <c:v>-5.2247999999963213E-2</c:v>
                </c:pt>
                <c:pt idx="13">
                  <c:v>-2.9480500146746635E-2</c:v>
                </c:pt>
                <c:pt idx="14">
                  <c:v>-2.9353000005357899E-2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00-49C2-BF6C-570D828B07E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00-49C2-BF6C-570D828B07E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00-49C2-BF6C-570D828B07E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6.7000000000000002E-4</c:v>
                  </c:pt>
                  <c:pt idx="2">
                    <c:v>6.8000000000000005E-4</c:v>
                  </c:pt>
                  <c:pt idx="3">
                    <c:v>1.16E-3</c:v>
                  </c:pt>
                  <c:pt idx="4">
                    <c:v>8.0999999999999996E-4</c:v>
                  </c:pt>
                  <c:pt idx="5">
                    <c:v>1.2199999999999999E-3</c:v>
                  </c:pt>
                  <c:pt idx="6">
                    <c:v>9.3000000000000005E-4</c:v>
                  </c:pt>
                  <c:pt idx="7">
                    <c:v>1.08E-3</c:v>
                  </c:pt>
                  <c:pt idx="8">
                    <c:v>1.06E-3</c:v>
                  </c:pt>
                  <c:pt idx="9">
                    <c:v>7.3999999999999999E-4</c:v>
                  </c:pt>
                  <c:pt idx="10">
                    <c:v>7.3999999999999999E-4</c:v>
                  </c:pt>
                  <c:pt idx="11">
                    <c:v>5.9999999999999995E-4</c:v>
                  </c:pt>
                  <c:pt idx="12">
                    <c:v>6.9999999999999999E-4</c:v>
                  </c:pt>
                  <c:pt idx="13">
                    <c:v>7.5799999999999999E-4</c:v>
                  </c:pt>
                  <c:pt idx="14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00-49C2-BF6C-570D828B07E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-7.4379428392243249E-3</c:v>
                </c:pt>
                <c:pt idx="1">
                  <c:v>-4.8359753116024792E-2</c:v>
                </c:pt>
                <c:pt idx="2">
                  <c:v>-4.8360715959493809E-2</c:v>
                </c:pt>
                <c:pt idx="3">
                  <c:v>-4.8439669123953415E-2</c:v>
                </c:pt>
                <c:pt idx="4">
                  <c:v>-4.8439669123953415E-2</c:v>
                </c:pt>
                <c:pt idx="5">
                  <c:v>-4.8439669123953415E-2</c:v>
                </c:pt>
                <c:pt idx="6">
                  <c:v>-4.8440631967422432E-2</c:v>
                </c:pt>
                <c:pt idx="7">
                  <c:v>-4.8440631967422432E-2</c:v>
                </c:pt>
                <c:pt idx="8">
                  <c:v>-4.8440631967422432E-2</c:v>
                </c:pt>
                <c:pt idx="9">
                  <c:v>-4.8484922766997333E-2</c:v>
                </c:pt>
                <c:pt idx="10">
                  <c:v>-4.848588561046635E-2</c:v>
                </c:pt>
                <c:pt idx="11">
                  <c:v>-4.8496476888625566E-2</c:v>
                </c:pt>
                <c:pt idx="12">
                  <c:v>-4.849743973209459E-2</c:v>
                </c:pt>
                <c:pt idx="13">
                  <c:v>-5.4514248569997842E-2</c:v>
                </c:pt>
                <c:pt idx="14">
                  <c:v>-5.4515211413466859E-2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00-49C2-BF6C-570D828B07E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21250.5</c:v>
                </c:pt>
                <c:pt idx="2">
                  <c:v>21251</c:v>
                </c:pt>
                <c:pt idx="3">
                  <c:v>21292</c:v>
                </c:pt>
                <c:pt idx="4">
                  <c:v>21292</c:v>
                </c:pt>
                <c:pt idx="5">
                  <c:v>21292</c:v>
                </c:pt>
                <c:pt idx="6">
                  <c:v>21292.5</c:v>
                </c:pt>
                <c:pt idx="7">
                  <c:v>21292.5</c:v>
                </c:pt>
                <c:pt idx="8">
                  <c:v>21292.5</c:v>
                </c:pt>
                <c:pt idx="9">
                  <c:v>21315.5</c:v>
                </c:pt>
                <c:pt idx="10">
                  <c:v>21316</c:v>
                </c:pt>
                <c:pt idx="11">
                  <c:v>21321.5</c:v>
                </c:pt>
                <c:pt idx="12">
                  <c:v>21322</c:v>
                </c:pt>
                <c:pt idx="13">
                  <c:v>24446.5</c:v>
                </c:pt>
                <c:pt idx="14">
                  <c:v>24447</c:v>
                </c:pt>
              </c:numCache>
            </c:numRef>
          </c:xVal>
          <c:yVal>
            <c:numRef>
              <c:f>Active!$U$21:$U$987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00-49C2-BF6C-570D828B0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926256"/>
        <c:axId val="1"/>
      </c:scatterChart>
      <c:valAx>
        <c:axId val="716926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9262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0C37C430-21E8-2370-B9CD-3617541B5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928"/>
  <sheetViews>
    <sheetView tabSelected="1" workbookViewId="0">
      <pane xSplit="11" ySplit="22" topLeftCell="L23" activePane="bottomRight" state="frozen"/>
      <selection pane="topRight" activeCell="L1" sqref="L1"/>
      <selection pane="bottomLeft" activeCell="A23" sqref="A23"/>
      <selection pane="bottomRight" activeCell="F9" sqref="F9: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3.42578125" customWidth="1"/>
  </cols>
  <sheetData>
    <row r="1" spans="1:22" ht="20.25" x14ac:dyDescent="0.3">
      <c r="A1" s="1" t="s">
        <v>46</v>
      </c>
      <c r="F1" s="33" t="s">
        <v>42</v>
      </c>
      <c r="G1" s="34" t="s">
        <v>43</v>
      </c>
      <c r="H1" s="35"/>
      <c r="I1" s="36" t="s">
        <v>44</v>
      </c>
      <c r="J1" s="37" t="s">
        <v>42</v>
      </c>
      <c r="K1" s="38">
        <v>12.324300000000001</v>
      </c>
      <c r="L1" s="39">
        <v>-87.26230000000001</v>
      </c>
      <c r="M1" s="40">
        <v>51870.32</v>
      </c>
      <c r="N1" s="40">
        <v>0.33851900000000001</v>
      </c>
      <c r="O1" s="41" t="s">
        <v>45</v>
      </c>
      <c r="T1" s="49"/>
      <c r="U1" s="50"/>
      <c r="V1" s="49"/>
    </row>
    <row r="2" spans="1:22" x14ac:dyDescent="0.2">
      <c r="A2" t="s">
        <v>23</v>
      </c>
      <c r="B2" t="s">
        <v>45</v>
      </c>
      <c r="C2" s="30"/>
      <c r="D2" s="3"/>
      <c r="T2" s="49"/>
      <c r="U2" s="50"/>
      <c r="V2" s="49"/>
    </row>
    <row r="3" spans="1:22" ht="13.5" thickBot="1" x14ac:dyDescent="0.25">
      <c r="T3" s="49"/>
      <c r="U3" s="49"/>
      <c r="V3" s="49"/>
    </row>
    <row r="4" spans="1:22" ht="14.25" thickTop="1" thickBot="1" x14ac:dyDescent="0.25">
      <c r="A4" s="5" t="s">
        <v>0</v>
      </c>
      <c r="C4" s="27" t="s">
        <v>37</v>
      </c>
      <c r="D4" s="28" t="s">
        <v>37</v>
      </c>
      <c r="T4" s="49"/>
      <c r="U4" s="49"/>
      <c r="V4" s="49"/>
    </row>
    <row r="5" spans="1:22" ht="13.5" thickTop="1" x14ac:dyDescent="0.2">
      <c r="A5" s="9" t="s">
        <v>28</v>
      </c>
      <c r="B5" s="10"/>
      <c r="C5" s="11">
        <v>-9.5</v>
      </c>
      <c r="D5" s="10" t="s">
        <v>29</v>
      </c>
      <c r="E5" s="10"/>
      <c r="T5" s="49"/>
      <c r="U5" s="49"/>
      <c r="V5" s="49"/>
    </row>
    <row r="6" spans="1:22" x14ac:dyDescent="0.2">
      <c r="A6" s="5" t="s">
        <v>1</v>
      </c>
      <c r="T6" s="49"/>
      <c r="U6" s="49"/>
      <c r="V6" s="49"/>
    </row>
    <row r="7" spans="1:22" x14ac:dyDescent="0.2">
      <c r="A7" t="s">
        <v>2</v>
      </c>
      <c r="C7" s="51">
        <v>51870.32</v>
      </c>
      <c r="D7" s="29"/>
      <c r="T7" s="49"/>
      <c r="U7" s="49"/>
      <c r="V7" s="49"/>
    </row>
    <row r="8" spans="1:22" x14ac:dyDescent="0.2">
      <c r="A8" t="s">
        <v>3</v>
      </c>
      <c r="C8" s="51">
        <v>0.33851900000000001</v>
      </c>
      <c r="D8" s="29"/>
      <c r="T8" s="49"/>
      <c r="U8" s="49"/>
      <c r="V8" s="49"/>
    </row>
    <row r="9" spans="1:22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2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2" x14ac:dyDescent="0.2">
      <c r="A11" s="10" t="s">
        <v>15</v>
      </c>
      <c r="B11" s="10"/>
      <c r="C11" s="21">
        <f ca="1">INTERCEPT(INDIRECT($D$9):G980,INDIRECT($C$9):F980)</f>
        <v>-7.4379428392243249E-3</v>
      </c>
      <c r="D11" s="3"/>
      <c r="E11" s="10"/>
    </row>
    <row r="12" spans="1:22" x14ac:dyDescent="0.2">
      <c r="A12" s="10" t="s">
        <v>16</v>
      </c>
      <c r="B12" s="10"/>
      <c r="C12" s="21">
        <f ca="1">SLOPE(INDIRECT($D$9):G980,INDIRECT($C$9):F980)</f>
        <v>-1.9256869380391269E-6</v>
      </c>
      <c r="D12" s="3"/>
      <c r="E12" s="10"/>
    </row>
    <row r="13" spans="1:22" x14ac:dyDescent="0.2">
      <c r="A13" s="10" t="s">
        <v>18</v>
      </c>
      <c r="B13" s="10"/>
      <c r="C13" s="3" t="s">
        <v>13</v>
      </c>
    </row>
    <row r="14" spans="1:22" x14ac:dyDescent="0.2">
      <c r="A14" s="10"/>
      <c r="B14" s="10"/>
      <c r="C14" s="10"/>
    </row>
    <row r="15" spans="1:22" x14ac:dyDescent="0.2">
      <c r="A15" s="12" t="s">
        <v>17</v>
      </c>
      <c r="B15" s="10"/>
      <c r="C15" s="13">
        <f ca="1">(C7+C11)+(C8+C12)*INT(MAX(F21:F3521))</f>
        <v>60146.039477788581</v>
      </c>
      <c r="E15" s="14" t="s">
        <v>34</v>
      </c>
      <c r="F15" s="31">
        <v>1</v>
      </c>
    </row>
    <row r="16" spans="1:22" x14ac:dyDescent="0.2">
      <c r="A16" s="16" t="s">
        <v>4</v>
      </c>
      <c r="B16" s="10"/>
      <c r="C16" s="17">
        <f ca="1">+C8+C12</f>
        <v>0.33851707431306199</v>
      </c>
      <c r="E16" s="14" t="s">
        <v>30</v>
      </c>
      <c r="F16" s="32">
        <f ca="1">NOW()+15018.5+$C$5/24</f>
        <v>60325.784265856477</v>
      </c>
    </row>
    <row r="17" spans="1:21" ht="13.5" thickBot="1" x14ac:dyDescent="0.25">
      <c r="A17" s="14" t="s">
        <v>27</v>
      </c>
      <c r="B17" s="10"/>
      <c r="C17" s="10">
        <f>COUNT(C21:C2179)</f>
        <v>15</v>
      </c>
      <c r="E17" s="14" t="s">
        <v>35</v>
      </c>
      <c r="F17" s="15">
        <f ca="1">ROUND(2*(F16-$C$7)/$C$8,0)/2+F15</f>
        <v>24979</v>
      </c>
    </row>
    <row r="18" spans="1:21" ht="14.25" thickTop="1" thickBot="1" x14ac:dyDescent="0.25">
      <c r="A18" s="16" t="s">
        <v>5</v>
      </c>
      <c r="B18" s="10"/>
      <c r="C18" s="19">
        <f ca="1">+C15</f>
        <v>60146.039477788581</v>
      </c>
      <c r="D18" s="20">
        <f ca="1">+C16</f>
        <v>0.33851707431306199</v>
      </c>
      <c r="E18" s="14" t="s">
        <v>36</v>
      </c>
      <c r="F18" s="23">
        <f ca="1">ROUND(2*(F16-$C$15)/$C$16,0)/2+F15</f>
        <v>532</v>
      </c>
    </row>
    <row r="19" spans="1:21" ht="13.5" thickTop="1" x14ac:dyDescent="0.2">
      <c r="E19" s="14" t="s">
        <v>31</v>
      </c>
      <c r="F19" s="18">
        <f ca="1">+$C$15+$C$16*F18-15018.5-$C$5/24</f>
        <v>45308.026394656466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A21">
        <f>D7</f>
        <v>0</v>
      </c>
      <c r="C21" s="8">
        <f>C$7</f>
        <v>51870.32</v>
      </c>
      <c r="D21" s="8" t="s">
        <v>13</v>
      </c>
      <c r="E21">
        <f t="shared" ref="E21:E33" si="0">+(C21-C$7)/C$8</f>
        <v>0</v>
      </c>
      <c r="F21">
        <f t="shared" ref="F21:F35" si="1">ROUND(2*E21,0)/2</f>
        <v>0</v>
      </c>
      <c r="G21">
        <f t="shared" ref="G21:G33" si="2">+C21-(C$7+F21*C$8)</f>
        <v>0</v>
      </c>
      <c r="I21">
        <f>+G21</f>
        <v>0</v>
      </c>
      <c r="O21">
        <f t="shared" ref="O21:O33" ca="1" si="3">+C$11+C$12*$F21</f>
        <v>-7.4379428392243249E-3</v>
      </c>
      <c r="Q21" s="2">
        <f t="shared" ref="Q21:Q33" si="4">+C21-15018.5</f>
        <v>36851.82</v>
      </c>
    </row>
    <row r="22" spans="1:21" ht="12" customHeight="1" x14ac:dyDescent="0.2">
      <c r="A22" s="42" t="s">
        <v>47</v>
      </c>
      <c r="B22" s="43" t="s">
        <v>48</v>
      </c>
      <c r="C22" s="44">
        <v>59063.963629999998</v>
      </c>
      <c r="D22" s="44">
        <v>6.7000000000000002E-4</v>
      </c>
      <c r="E22">
        <f t="shared" si="0"/>
        <v>21250.339360567643</v>
      </c>
      <c r="F22">
        <f t="shared" si="1"/>
        <v>21250.5</v>
      </c>
      <c r="G22">
        <f t="shared" si="2"/>
        <v>-5.4379499997594394E-2</v>
      </c>
      <c r="K22">
        <f t="shared" ref="K22:K33" si="5">+G22</f>
        <v>-5.4379499997594394E-2</v>
      </c>
      <c r="O22">
        <f t="shared" ca="1" si="3"/>
        <v>-4.8359753116024792E-2</v>
      </c>
      <c r="Q22" s="2">
        <f t="shared" si="4"/>
        <v>44045.463629999998</v>
      </c>
    </row>
    <row r="23" spans="1:21" ht="12" customHeight="1" x14ac:dyDescent="0.2">
      <c r="A23" s="42" t="s">
        <v>47</v>
      </c>
      <c r="B23" s="43" t="s">
        <v>49</v>
      </c>
      <c r="C23" s="44">
        <v>59064.13377</v>
      </c>
      <c r="D23" s="44">
        <v>6.8000000000000005E-4</v>
      </c>
      <c r="E23">
        <f t="shared" si="0"/>
        <v>21250.841961603339</v>
      </c>
      <c r="F23">
        <f t="shared" si="1"/>
        <v>21251</v>
      </c>
      <c r="G23">
        <f t="shared" si="2"/>
        <v>-5.3499000001465902E-2</v>
      </c>
      <c r="K23">
        <f t="shared" si="5"/>
        <v>-5.3499000001465902E-2</v>
      </c>
      <c r="O23">
        <f t="shared" ca="1" si="3"/>
        <v>-4.8360715959493809E-2</v>
      </c>
      <c r="Q23" s="2">
        <f t="shared" si="4"/>
        <v>44045.63377</v>
      </c>
    </row>
    <row r="24" spans="1:21" ht="12" customHeight="1" x14ac:dyDescent="0.2">
      <c r="A24" s="42" t="s">
        <v>47</v>
      </c>
      <c r="B24" s="43" t="s">
        <v>49</v>
      </c>
      <c r="C24" s="44">
        <v>59078.013509999997</v>
      </c>
      <c r="D24" s="44">
        <v>1.16E-3</v>
      </c>
      <c r="E24">
        <f t="shared" si="0"/>
        <v>21291.843323417583</v>
      </c>
      <c r="F24">
        <f t="shared" si="1"/>
        <v>21292</v>
      </c>
      <c r="G24">
        <f t="shared" si="2"/>
        <v>-5.3038000005471986E-2</v>
      </c>
      <c r="K24">
        <f t="shared" si="5"/>
        <v>-5.3038000005471986E-2</v>
      </c>
      <c r="O24">
        <f t="shared" ca="1" si="3"/>
        <v>-4.8439669123953415E-2</v>
      </c>
      <c r="Q24" s="2">
        <f t="shared" si="4"/>
        <v>44059.513509999997</v>
      </c>
    </row>
    <row r="25" spans="1:21" ht="12" customHeight="1" x14ac:dyDescent="0.2">
      <c r="A25" s="42" t="s">
        <v>47</v>
      </c>
      <c r="B25" s="43" t="s">
        <v>49</v>
      </c>
      <c r="C25" s="44">
        <v>59078.013769999998</v>
      </c>
      <c r="D25" s="44">
        <v>8.0999999999999996E-4</v>
      </c>
      <c r="E25">
        <f t="shared" si="0"/>
        <v>21291.844091469011</v>
      </c>
      <c r="F25">
        <f t="shared" si="1"/>
        <v>21292</v>
      </c>
      <c r="G25">
        <f t="shared" si="2"/>
        <v>-5.2778000004764181E-2</v>
      </c>
      <c r="K25">
        <f t="shared" si="5"/>
        <v>-5.2778000004764181E-2</v>
      </c>
      <c r="O25">
        <f t="shared" ca="1" si="3"/>
        <v>-4.8439669123953415E-2</v>
      </c>
      <c r="Q25" s="2">
        <f t="shared" si="4"/>
        <v>44059.513769999998</v>
      </c>
    </row>
    <row r="26" spans="1:21" ht="12" customHeight="1" x14ac:dyDescent="0.2">
      <c r="A26" s="42" t="s">
        <v>47</v>
      </c>
      <c r="B26" s="43" t="s">
        <v>49</v>
      </c>
      <c r="C26" s="44">
        <v>59078.013780000001</v>
      </c>
      <c r="D26" s="44">
        <v>1.2199999999999999E-3</v>
      </c>
      <c r="E26">
        <f t="shared" si="0"/>
        <v>21291.844121009461</v>
      </c>
      <c r="F26">
        <f t="shared" si="1"/>
        <v>21292</v>
      </c>
      <c r="G26">
        <f t="shared" si="2"/>
        <v>-5.2768000001378823E-2</v>
      </c>
      <c r="K26">
        <f t="shared" si="5"/>
        <v>-5.2768000001378823E-2</v>
      </c>
      <c r="O26">
        <f t="shared" ca="1" si="3"/>
        <v>-4.8439669123953415E-2</v>
      </c>
      <c r="Q26" s="2">
        <f t="shared" si="4"/>
        <v>44059.513780000001</v>
      </c>
    </row>
    <row r="27" spans="1:21" ht="12" customHeight="1" x14ac:dyDescent="0.2">
      <c r="A27" s="42" t="s">
        <v>47</v>
      </c>
      <c r="B27" s="43" t="s">
        <v>48</v>
      </c>
      <c r="C27" s="44">
        <v>59078.181120000001</v>
      </c>
      <c r="D27" s="44">
        <v>9.3000000000000005E-4</v>
      </c>
      <c r="E27">
        <f t="shared" si="0"/>
        <v>21292.33845072212</v>
      </c>
      <c r="F27">
        <f t="shared" si="1"/>
        <v>21292.5</v>
      </c>
      <c r="G27">
        <f t="shared" si="2"/>
        <v>-5.46875E-2</v>
      </c>
      <c r="K27">
        <f t="shared" si="5"/>
        <v>-5.46875E-2</v>
      </c>
      <c r="O27">
        <f t="shared" ca="1" si="3"/>
        <v>-4.8440631967422432E-2</v>
      </c>
      <c r="Q27" s="2">
        <f t="shared" si="4"/>
        <v>44059.681120000001</v>
      </c>
    </row>
    <row r="28" spans="1:21" ht="12" customHeight="1" x14ac:dyDescent="0.2">
      <c r="A28" s="42" t="s">
        <v>47</v>
      </c>
      <c r="B28" s="43" t="s">
        <v>48</v>
      </c>
      <c r="C28" s="44">
        <v>59078.182130000001</v>
      </c>
      <c r="D28" s="44">
        <v>1.08E-3</v>
      </c>
      <c r="E28">
        <f t="shared" si="0"/>
        <v>21292.341434306498</v>
      </c>
      <c r="F28">
        <f t="shared" si="1"/>
        <v>21292.5</v>
      </c>
      <c r="G28">
        <f t="shared" si="2"/>
        <v>-5.3677500000048894E-2</v>
      </c>
      <c r="K28">
        <f t="shared" si="5"/>
        <v>-5.3677500000048894E-2</v>
      </c>
      <c r="O28">
        <f t="shared" ca="1" si="3"/>
        <v>-4.8440631967422432E-2</v>
      </c>
      <c r="Q28" s="2">
        <f t="shared" si="4"/>
        <v>44059.682130000001</v>
      </c>
    </row>
    <row r="29" spans="1:21" ht="12" customHeight="1" x14ac:dyDescent="0.2">
      <c r="A29" s="42" t="s">
        <v>47</v>
      </c>
      <c r="B29" s="43" t="s">
        <v>48</v>
      </c>
      <c r="C29" s="44">
        <v>59078.182159999997</v>
      </c>
      <c r="D29" s="44">
        <v>1.06E-3</v>
      </c>
      <c r="E29">
        <f t="shared" si="0"/>
        <v>21292.341522927803</v>
      </c>
      <c r="F29">
        <f t="shared" si="1"/>
        <v>21292.5</v>
      </c>
      <c r="G29">
        <f t="shared" si="2"/>
        <v>-5.3647500004444737E-2</v>
      </c>
      <c r="K29">
        <f t="shared" si="5"/>
        <v>-5.3647500004444737E-2</v>
      </c>
      <c r="O29">
        <f t="shared" ca="1" si="3"/>
        <v>-4.8440631967422432E-2</v>
      </c>
      <c r="Q29" s="2">
        <f t="shared" si="4"/>
        <v>44059.682159999997</v>
      </c>
    </row>
    <row r="30" spans="1:21" ht="12" customHeight="1" x14ac:dyDescent="0.2">
      <c r="A30" s="42" t="s">
        <v>47</v>
      </c>
      <c r="B30" s="43" t="s">
        <v>48</v>
      </c>
      <c r="C30" s="44">
        <v>59085.968999999997</v>
      </c>
      <c r="D30" s="44">
        <v>7.3999999999999999E-4</v>
      </c>
      <c r="E30">
        <f t="shared" si="0"/>
        <v>21315.344190429481</v>
      </c>
      <c r="F30">
        <f t="shared" si="1"/>
        <v>21315.5</v>
      </c>
      <c r="G30">
        <f t="shared" si="2"/>
        <v>-5.2744500004337169E-2</v>
      </c>
      <c r="K30">
        <f t="shared" si="5"/>
        <v>-5.2744500004337169E-2</v>
      </c>
      <c r="O30">
        <f t="shared" ca="1" si="3"/>
        <v>-4.8484922766997333E-2</v>
      </c>
      <c r="Q30" s="2">
        <f t="shared" si="4"/>
        <v>44067.468999999997</v>
      </c>
    </row>
    <row r="31" spans="1:21" ht="12" customHeight="1" x14ac:dyDescent="0.2">
      <c r="A31" s="42" t="s">
        <v>47</v>
      </c>
      <c r="B31" s="43" t="s">
        <v>49</v>
      </c>
      <c r="C31" s="44">
        <v>59086.138070000001</v>
      </c>
      <c r="D31" s="44">
        <v>7.3999999999999999E-4</v>
      </c>
      <c r="E31">
        <f t="shared" si="0"/>
        <v>21315.843630638166</v>
      </c>
      <c r="F31">
        <f t="shared" si="1"/>
        <v>21316</v>
      </c>
      <c r="G31">
        <f t="shared" si="2"/>
        <v>-5.2933999999368098E-2</v>
      </c>
      <c r="K31">
        <f t="shared" si="5"/>
        <v>-5.2933999999368098E-2</v>
      </c>
      <c r="O31">
        <f t="shared" ca="1" si="3"/>
        <v>-4.848588561046635E-2</v>
      </c>
      <c r="Q31" s="2">
        <f t="shared" si="4"/>
        <v>44067.638070000001</v>
      </c>
    </row>
    <row r="32" spans="1:21" ht="12" customHeight="1" x14ac:dyDescent="0.2">
      <c r="A32" s="42" t="s">
        <v>47</v>
      </c>
      <c r="B32" s="43" t="s">
        <v>48</v>
      </c>
      <c r="C32" s="44">
        <v>59088.0003</v>
      </c>
      <c r="D32" s="44">
        <v>5.9999999999999995E-4</v>
      </c>
      <c r="E32">
        <f t="shared" si="0"/>
        <v>21321.344739881661</v>
      </c>
      <c r="F32">
        <f t="shared" si="1"/>
        <v>21321.5</v>
      </c>
      <c r="G32">
        <f t="shared" si="2"/>
        <v>-5.255849999957718E-2</v>
      </c>
      <c r="K32">
        <f t="shared" si="5"/>
        <v>-5.255849999957718E-2</v>
      </c>
      <c r="O32">
        <f t="shared" ca="1" si="3"/>
        <v>-4.8496476888625566E-2</v>
      </c>
      <c r="Q32" s="2">
        <f t="shared" si="4"/>
        <v>44069.5003</v>
      </c>
    </row>
    <row r="33" spans="1:20" ht="12" customHeight="1" x14ac:dyDescent="0.2">
      <c r="A33" s="42" t="s">
        <v>47</v>
      </c>
      <c r="B33" s="43" t="s">
        <v>49</v>
      </c>
      <c r="C33" s="44">
        <v>59088.169869999998</v>
      </c>
      <c r="D33" s="44">
        <v>6.9999999999999999E-4</v>
      </c>
      <c r="E33">
        <f t="shared" si="0"/>
        <v>21321.845657112299</v>
      </c>
      <c r="F33">
        <f t="shared" si="1"/>
        <v>21322</v>
      </c>
      <c r="G33">
        <f t="shared" si="2"/>
        <v>-5.2247999999963213E-2</v>
      </c>
      <c r="K33">
        <f t="shared" si="5"/>
        <v>-5.2247999999963213E-2</v>
      </c>
      <c r="O33">
        <f t="shared" ca="1" si="3"/>
        <v>-4.849743973209459E-2</v>
      </c>
      <c r="Q33" s="2">
        <f t="shared" si="4"/>
        <v>44069.669869999998</v>
      </c>
    </row>
    <row r="34" spans="1:20" ht="12" customHeight="1" x14ac:dyDescent="0.25">
      <c r="A34" s="45" t="s">
        <v>50</v>
      </c>
      <c r="B34" s="46" t="s">
        <v>49</v>
      </c>
      <c r="C34" s="47">
        <v>60145.89525299985</v>
      </c>
      <c r="D34" s="47">
        <v>7.5799999999999999E-4</v>
      </c>
      <c r="E34">
        <f t="shared" ref="E34:E35" si="6">+(C34-C$7)/C$8</f>
        <v>24446.412913307227</v>
      </c>
      <c r="F34">
        <f t="shared" si="1"/>
        <v>24446.5</v>
      </c>
      <c r="G34">
        <f t="shared" ref="G34:G35" si="7">+C34-(C$7+F34*C$8)</f>
        <v>-2.9480500146746635E-2</v>
      </c>
      <c r="K34">
        <f t="shared" ref="K34:K35" si="8">+G34</f>
        <v>-2.9480500146746635E-2</v>
      </c>
      <c r="O34">
        <f t="shared" ref="O34:O35" ca="1" si="9">+C$11+C$12*$F34</f>
        <v>-5.4514248569997842E-2</v>
      </c>
      <c r="Q34" s="2">
        <f t="shared" ref="Q34:Q35" si="10">+C34-15018.5</f>
        <v>45127.39525299985</v>
      </c>
      <c r="T34" s="48" t="s">
        <v>51</v>
      </c>
    </row>
    <row r="35" spans="1:20" ht="12" customHeight="1" x14ac:dyDescent="0.25">
      <c r="A35" s="45" t="s">
        <v>50</v>
      </c>
      <c r="B35" s="46" t="s">
        <v>48</v>
      </c>
      <c r="C35" s="47">
        <v>60146.064639999997</v>
      </c>
      <c r="D35" s="47">
        <v>6.9999999999999999E-4</v>
      </c>
      <c r="E35">
        <f t="shared" si="6"/>
        <v>24446.913289948265</v>
      </c>
      <c r="F35">
        <f t="shared" si="1"/>
        <v>24447</v>
      </c>
      <c r="G35">
        <f t="shared" si="7"/>
        <v>-2.9353000005357899E-2</v>
      </c>
      <c r="K35">
        <f t="shared" si="8"/>
        <v>-2.9353000005357899E-2</v>
      </c>
      <c r="O35">
        <f t="shared" ca="1" si="9"/>
        <v>-5.4515211413466859E-2</v>
      </c>
      <c r="Q35" s="2">
        <f t="shared" si="10"/>
        <v>45127.564639999997</v>
      </c>
      <c r="T35" s="48" t="s">
        <v>51</v>
      </c>
    </row>
    <row r="36" spans="1:20" ht="12" customHeight="1" x14ac:dyDescent="0.2">
      <c r="C36" s="8"/>
      <c r="D36" s="8"/>
    </row>
    <row r="37" spans="1:20" ht="12" customHeight="1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</sheetData>
  <sortState xmlns:xlrd2="http://schemas.microsoft.com/office/spreadsheetml/2017/richdata2" ref="A21:U33">
    <sortCondition ref="C21:C33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2024-01-16T05:49:20Z</dcterms:modified>
</cp:coreProperties>
</file>