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2EC228E-8F42-4AE5-95AD-1EA3287C89F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4" r:id="rId2"/>
    <sheet name="Active 2" sheetId="3" r:id="rId3"/>
    <sheet name="Graphs 2" sheetId="5" r:id="rId4"/>
    <sheet name="BAv" sheetId="2" r:id="rId5"/>
  </sheets>
  <definedNames>
    <definedName name="solver_adj" localSheetId="0" hidden="1">'Active 1'!#REF!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hs1" localSheetId="0" hidden="1">'Active 1'!$F$12</definedName>
    <definedName name="solver_lhs1" localSheetId="2" hidden="1">'Active 2'!$E$10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1</definedName>
    <definedName name="solver_num" localSheetId="2" hidden="1">1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rel1" localSheetId="0" hidden="1">2</definedName>
    <definedName name="solver_rel1" localSheetId="2" hidden="1">2</definedName>
    <definedName name="solver_rhs1" localSheetId="0" hidden="1">INT('Active 1'!$F$12)</definedName>
    <definedName name="solver_rhs1" localSheetId="2" hidden="1">INT('Active 2'!$E$10)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0" i="3" l="1"/>
  <c r="F30" i="3"/>
  <c r="Q30" i="3"/>
  <c r="E30" i="1"/>
  <c r="F30" i="1"/>
  <c r="G30" i="1"/>
  <c r="K30" i="1"/>
  <c r="Q30" i="1"/>
  <c r="D11" i="3"/>
  <c r="W10" i="3" s="1"/>
  <c r="D12" i="3"/>
  <c r="D13" i="3"/>
  <c r="W7" i="3"/>
  <c r="W2" i="3"/>
  <c r="W5" i="3"/>
  <c r="AB5" i="3"/>
  <c r="AB7" i="3"/>
  <c r="W8" i="3"/>
  <c r="AB8" i="3"/>
  <c r="C9" i="3"/>
  <c r="D9" i="3"/>
  <c r="W9" i="3"/>
  <c r="AB10" i="3"/>
  <c r="W12" i="3"/>
  <c r="W13" i="3"/>
  <c r="W14" i="3"/>
  <c r="W15" i="3"/>
  <c r="F16" i="3"/>
  <c r="C17" i="3"/>
  <c r="W17" i="3"/>
  <c r="W18" i="3"/>
  <c r="W19" i="3"/>
  <c r="W20" i="3"/>
  <c r="E21" i="3"/>
  <c r="F21" i="3"/>
  <c r="Q21" i="3"/>
  <c r="W21" i="3"/>
  <c r="E22" i="3"/>
  <c r="F22" i="3"/>
  <c r="Q22" i="3"/>
  <c r="W22" i="3"/>
  <c r="E23" i="3"/>
  <c r="F23" i="3"/>
  <c r="Q23" i="3"/>
  <c r="W23" i="3"/>
  <c r="E24" i="3"/>
  <c r="F24" i="3"/>
  <c r="Q24" i="3"/>
  <c r="W24" i="3"/>
  <c r="E25" i="3"/>
  <c r="F25" i="3"/>
  <c r="Q25" i="3"/>
  <c r="W25" i="3"/>
  <c r="E26" i="3"/>
  <c r="F26" i="3"/>
  <c r="Q26" i="3"/>
  <c r="W26" i="3"/>
  <c r="E27" i="3"/>
  <c r="F27" i="3"/>
  <c r="Q27" i="3"/>
  <c r="W27" i="3"/>
  <c r="E28" i="3"/>
  <c r="F28" i="3"/>
  <c r="Q28" i="3"/>
  <c r="W28" i="3"/>
  <c r="E29" i="3"/>
  <c r="F29" i="3"/>
  <c r="Q29" i="3"/>
  <c r="W29" i="3"/>
  <c r="W39" i="3"/>
  <c r="R21" i="1"/>
  <c r="AB5" i="1"/>
  <c r="AB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U28" i="1"/>
  <c r="E29" i="1"/>
  <c r="F29" i="1"/>
  <c r="G29" i="1"/>
  <c r="K29" i="1"/>
  <c r="E21" i="1"/>
  <c r="F21" i="1"/>
  <c r="Q21" i="1"/>
  <c r="Q29" i="1"/>
  <c r="D9" i="1"/>
  <c r="C9" i="1"/>
  <c r="Q22" i="1"/>
  <c r="Q23" i="1"/>
  <c r="Q24" i="1"/>
  <c r="Q25" i="1"/>
  <c r="Q26" i="1"/>
  <c r="Q27" i="1"/>
  <c r="H188" i="2"/>
  <c r="B188" i="2"/>
  <c r="G188" i="2"/>
  <c r="D188" i="2"/>
  <c r="C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C80" i="2"/>
  <c r="F80" i="2"/>
  <c r="D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6" i="1"/>
  <c r="F17" i="1" s="1"/>
  <c r="C17" i="1"/>
  <c r="Q28" i="1"/>
  <c r="G30" i="3"/>
  <c r="K30" i="3"/>
  <c r="P30" i="3"/>
  <c r="R30" i="3"/>
  <c r="T30" i="3" s="1"/>
  <c r="P25" i="3"/>
  <c r="R25" i="3" s="1"/>
  <c r="T25" i="3" s="1"/>
  <c r="G25" i="3"/>
  <c r="K25" i="3"/>
  <c r="P22" i="3"/>
  <c r="G22" i="3"/>
  <c r="P27" i="3"/>
  <c r="R27" i="3"/>
  <c r="T27" i="3" s="1"/>
  <c r="G27" i="3"/>
  <c r="K27" i="3"/>
  <c r="G24" i="3"/>
  <c r="K24" i="3"/>
  <c r="P24" i="3"/>
  <c r="R24" i="3" s="1"/>
  <c r="T24" i="3" s="1"/>
  <c r="D16" i="3"/>
  <c r="D19" i="3"/>
  <c r="P21" i="3"/>
  <c r="R21" i="3" s="1"/>
  <c r="T21" i="3" s="1"/>
  <c r="D15" i="3"/>
  <c r="C19" i="3" s="1"/>
  <c r="G29" i="3"/>
  <c r="K29" i="3"/>
  <c r="P29" i="3"/>
  <c r="R29" i="3" s="1"/>
  <c r="T29" i="3" s="1"/>
  <c r="P26" i="3"/>
  <c r="G26" i="3"/>
  <c r="K26" i="3"/>
  <c r="P23" i="3"/>
  <c r="R23" i="3" s="1"/>
  <c r="T23" i="3" s="1"/>
  <c r="G23" i="3"/>
  <c r="K23" i="3"/>
  <c r="P28" i="3"/>
  <c r="G28" i="3"/>
  <c r="K28" i="3"/>
  <c r="AB10" i="1"/>
  <c r="F17" i="3"/>
  <c r="AB9" i="3"/>
  <c r="W4" i="3"/>
  <c r="AB7" i="1"/>
  <c r="AB8" i="1"/>
  <c r="K22" i="3"/>
  <c r="R28" i="3"/>
  <c r="T28" i="3"/>
  <c r="R22" i="3"/>
  <c r="T22" i="3" s="1"/>
  <c r="R26" i="3"/>
  <c r="T26" i="3"/>
  <c r="C12" i="1"/>
  <c r="C11" i="1"/>
  <c r="C12" i="3"/>
  <c r="C11" i="3"/>
  <c r="Y11" i="3" l="1"/>
  <c r="Y26" i="3"/>
  <c r="Y4" i="3"/>
  <c r="Y10" i="3"/>
  <c r="O28" i="3"/>
  <c r="O22" i="3"/>
  <c r="O24" i="3"/>
  <c r="Y12" i="3"/>
  <c r="Y17" i="3"/>
  <c r="Y27" i="3"/>
  <c r="Y14" i="3"/>
  <c r="Y18" i="3"/>
  <c r="O29" i="3"/>
  <c r="Y3" i="3"/>
  <c r="Y28" i="3"/>
  <c r="Y13" i="3"/>
  <c r="Y7" i="3"/>
  <c r="Y24" i="3"/>
  <c r="Y30" i="3"/>
  <c r="Y21" i="3"/>
  <c r="Y29" i="3"/>
  <c r="C15" i="3"/>
  <c r="O23" i="3"/>
  <c r="O30" i="3"/>
  <c r="Y22" i="3"/>
  <c r="Y16" i="3"/>
  <c r="Y2" i="3"/>
  <c r="Y23" i="3"/>
  <c r="Y9" i="3"/>
  <c r="Y20" i="3"/>
  <c r="O25" i="3"/>
  <c r="Y15" i="3"/>
  <c r="O26" i="3"/>
  <c r="Y6" i="3"/>
  <c r="Y25" i="3"/>
  <c r="Y19" i="3"/>
  <c r="Y8" i="3"/>
  <c r="O27" i="3"/>
  <c r="Y5" i="3"/>
  <c r="C16" i="3"/>
  <c r="D18" i="3" s="1"/>
  <c r="Y8" i="1"/>
  <c r="Y5" i="1"/>
  <c r="Y18" i="1"/>
  <c r="C15" i="1"/>
  <c r="O27" i="1"/>
  <c r="Y11" i="1"/>
  <c r="Y4" i="1"/>
  <c r="Y25" i="1"/>
  <c r="O30" i="1"/>
  <c r="O23" i="1"/>
  <c r="Y2" i="1"/>
  <c r="Y20" i="1"/>
  <c r="Y26" i="1"/>
  <c r="Y23" i="1"/>
  <c r="Y24" i="1"/>
  <c r="Y6" i="1"/>
  <c r="Y17" i="1"/>
  <c r="Y21" i="1"/>
  <c r="O24" i="1"/>
  <c r="Y10" i="1"/>
  <c r="O25" i="1"/>
  <c r="Y29" i="1"/>
  <c r="O26" i="1"/>
  <c r="Y22" i="1"/>
  <c r="Y27" i="1"/>
  <c r="Y28" i="1"/>
  <c r="Y16" i="1"/>
  <c r="Y13" i="1"/>
  <c r="Y3" i="1"/>
  <c r="Y9" i="1"/>
  <c r="O28" i="1"/>
  <c r="Y14" i="1"/>
  <c r="Y19" i="1"/>
  <c r="O29" i="1"/>
  <c r="Y7" i="1"/>
  <c r="Y12" i="1"/>
  <c r="Y15" i="1"/>
  <c r="O22" i="1"/>
  <c r="C16" i="1"/>
  <c r="D18" i="1" s="1"/>
  <c r="E14" i="3"/>
  <c r="D14" i="3" s="1"/>
  <c r="W30" i="3"/>
  <c r="W11" i="3"/>
  <c r="W6" i="3"/>
  <c r="W3" i="3"/>
  <c r="W16" i="3"/>
  <c r="C18" i="3" l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<sst xmlns="http://schemas.openxmlformats.org/spreadsheetml/2006/main" count="522" uniqueCount="75">
  <si>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</si>
  <si>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</si>
  <si>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</si>
  <si>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</si>
  <si>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</si>
  <si>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</si>
  <si>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</si>
  <si>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</si>
  <si>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</si>
  <si>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</si>
  <si>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</si>
  <si>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</si>
  <si>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</si>
  <si>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</si>
  <si>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</si>
  <si>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</si>
  <si>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</si>
  <si>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</si>
  <si>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</si>
  <si>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</si>
  <si>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</si>
  <si>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</si>
  <si>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</si>
  <si>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</si>
  <si>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</si>
  <si>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</si>
  <si>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</si>
  <si>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</si>
  <si>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</si>
  <si>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</si>
  <si>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</si>
  <si>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</si>
  <si>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</si>
  <si>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</si>
  <si>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</si>
  <si>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</si>
  <si>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</si>
  <si>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</si>
  <si>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</si>
  <si>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</si>
  <si>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</si>
  <si>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</si>
  <si>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</si>
  <si>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</si>
  <si>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</si>
  <si>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</si>
  <si>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</si>
  <si>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</si>
  <si>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</si>
  <si>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</si>
  <si>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</si>
  <si>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</si>
  <si>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</si>
  <si>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</si>
  <si>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</si>
  <si>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G0420-1122</t>
  </si>
  <si>
    <t>2019E</t>
  </si>
  <si>
    <t>EW?</t>
  </si>
  <si>
    <t>pr_7</t>
  </si>
  <si>
    <t>Alton</t>
  </si>
  <si>
    <t>RHN 2019</t>
  </si>
  <si>
    <t>Alton (pc)</t>
  </si>
  <si>
    <t>II</t>
  </si>
  <si>
    <t>I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</si>
  <si>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</si>
  <si>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</si>
  <si>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</si>
  <si>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</si>
  <si>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</si>
  <si>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Lin.Fit</t>
  </si>
  <si>
    <t>dP/dt =</t>
  </si>
  <si>
    <t>bogus &gt;&gt;&gt;&gt;</t>
  </si>
  <si>
    <t>Quad fit matches data but dP/dt is impossibly large</t>
  </si>
  <si>
    <t>cycle adj.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</si>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</sst>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4"/>
      </patternFill>
    </fill>
    <fill>
      <patternFill patternType="solid">
        <fgColor indexed="8"/>
        <bgColor indexed="25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4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/>
    <xf numFmtId="0" fontId="22" fillId="0" borderId="0" xfId="0" applyFont="1" applyAlignment="1"/>
    <xf numFmtId="0" fontId="23" fillId="0" borderId="18" xfId="0" applyFont="1" applyBorder="1" applyAlignment="1"/>
    <xf numFmtId="0" fontId="23" fillId="0" borderId="19" xfId="0" applyFont="1" applyBorder="1" applyAlignment="1"/>
    <xf numFmtId="0" fontId="23" fillId="0" borderId="20" xfId="0" applyFont="1" applyBorder="1" applyAlignment="1"/>
    <xf numFmtId="0" fontId="24" fillId="0" borderId="0" xfId="0" applyFont="1" applyAlignment="1"/>
    <xf numFmtId="0" fontId="24" fillId="5" borderId="0" xfId="0" applyFont="1" applyFill="1" applyAlignment="1"/>
    <xf numFmtId="0" fontId="25" fillId="6" borderId="16" xfId="0" applyFont="1" applyFill="1" applyBorder="1">
      <alignment vertical="top"/>
    </xf>
    <xf numFmtId="0" fontId="25" fillId="7" borderId="17" xfId="0" applyFont="1" applyFill="1" applyBorder="1" applyAlignment="1"/>
    <xf numFmtId="0" fontId="0" fillId="0" borderId="0" xfId="0" applyBorder="1" applyAlignment="1"/>
    <xf numFmtId="0" fontId="0" fillId="0" borderId="0" xfId="0" applyBorder="1">
      <alignment vertical="top"/>
    </xf>
    <xf numFmtId="0" fontId="0" fillId="0" borderId="1" xfId="0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6390977443609024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3315217391304349"/>
          <c:w val="0.83308270676691731"/>
          <c:h val="0.66847826086956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F-4870-8FCA-3BA62444462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F-4870-8FCA-3BA62444462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F-4870-8FCA-3BA62444462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8">
                  <c:v>3.3142696119321045</c:v>
                </c:pt>
                <c:pt idx="9">
                  <c:v>3.3228559938361286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F-4870-8FCA-3BA62444462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F-4870-8FCA-3BA62444462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F-4870-8FCA-3BA62444462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F-4870-8FCA-3BA62444462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1">
                  <c:v>-2.634068758819811E-2</c:v>
                </c:pt>
                <c:pt idx="2">
                  <c:v>-2.5602053796666868E-2</c:v>
                </c:pt>
                <c:pt idx="3">
                  <c:v>-2.1170251047479407E-2</c:v>
                </c:pt>
                <c:pt idx="4">
                  <c:v>-1.5999814506760704E-2</c:v>
                </c:pt>
                <c:pt idx="5">
                  <c:v>-1.1568011757573242E-2</c:v>
                </c:pt>
                <c:pt idx="6">
                  <c:v>-1.0829377966041998E-2</c:v>
                </c:pt>
                <c:pt idx="7">
                  <c:v>3.3041590784261787</c:v>
                </c:pt>
                <c:pt idx="8">
                  <c:v>3.313761317716085</c:v>
                </c:pt>
                <c:pt idx="9">
                  <c:v>3.3233635570059912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F-4870-8FCA-3BA62444462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7">
                  <c:v>3.2443832300268696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F-4870-8FCA-3BA62444462C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1'!$V$2:$V$56</c:f>
              <c:numCache>
                <c:formatCode>General</c:formatCode>
                <c:ptCount val="55"/>
              </c:numCache>
            </c:numRef>
          </c:xVal>
          <c:yVal>
            <c:numRef>
              <c:f>'Active 1'!$W$2:$W$56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0F-4870-8FCA-3BA624444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6808"/>
        <c:axId val="1"/>
      </c:scatterChart>
      <c:valAx>
        <c:axId val="734156808"/>
        <c:scaling>
          <c:orientation val="minMax"/>
          <c:max val="25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5326086956521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58695652173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5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94736842105263"/>
          <c:y val="0.92934782608695654"/>
          <c:w val="0.77593984962406015"/>
          <c:h val="5.4347826086956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6308655064107909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2174005541738"/>
          <c:y val="0.13440895499662664"/>
          <c:w val="0.81997034852669703"/>
          <c:h val="0.66935659588320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C-4A60-9017-80853F2230B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C-4A60-9017-80853F2230B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C-4A60-9017-80853F2230B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8">
                  <c:v>3.3142696119321045</c:v>
                </c:pt>
                <c:pt idx="9">
                  <c:v>3.3228559938361286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C-4A60-9017-80853F2230B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C-4A60-9017-80853F2230B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C-4A60-9017-80853F2230B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C-4A60-9017-80853F2230B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1'!$X$2:$X$29</c:f>
              <c:numCache>
                <c:formatCode>General</c:formatCode>
                <c:ptCount val="28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</c:numCache>
            </c:numRef>
          </c:xVal>
          <c:yVal>
            <c:numRef>
              <c:f>'Active 1'!$Y$2:$Y$29</c:f>
              <c:numCache>
                <c:formatCode>General</c:formatCode>
                <c:ptCount val="28"/>
                <c:pt idx="0">
                  <c:v>-4.0374729627291737E-2</c:v>
                </c:pt>
                <c:pt idx="1">
                  <c:v>-2.5602053796666868E-2</c:v>
                </c:pt>
                <c:pt idx="2">
                  <c:v>-1.0829377966041998E-2</c:v>
                </c:pt>
                <c:pt idx="3">
                  <c:v>3.9432978645828724E-3</c:v>
                </c:pt>
                <c:pt idx="4">
                  <c:v>6.3034001187082356E-2</c:v>
                </c:pt>
                <c:pt idx="5">
                  <c:v>0.13689738034020671</c:v>
                </c:pt>
                <c:pt idx="6">
                  <c:v>0.28462413864645542</c:v>
                </c:pt>
                <c:pt idx="7">
                  <c:v>0.43235089695270407</c:v>
                </c:pt>
                <c:pt idx="8">
                  <c:v>0.58007765525895283</c:v>
                </c:pt>
                <c:pt idx="9">
                  <c:v>0.72780441356520142</c:v>
                </c:pt>
                <c:pt idx="10">
                  <c:v>0.87553117187145013</c:v>
                </c:pt>
                <c:pt idx="11">
                  <c:v>1.0232579301776989</c:v>
                </c:pt>
                <c:pt idx="12">
                  <c:v>1.1709846884839477</c:v>
                </c:pt>
                <c:pt idx="13">
                  <c:v>1.3187114467901964</c:v>
                </c:pt>
                <c:pt idx="14">
                  <c:v>1.4664382050964448</c:v>
                </c:pt>
                <c:pt idx="15">
                  <c:v>1.6141649634026936</c:v>
                </c:pt>
                <c:pt idx="16">
                  <c:v>1.7618917217089423</c:v>
                </c:pt>
                <c:pt idx="17">
                  <c:v>1.909618480015191</c:v>
                </c:pt>
                <c:pt idx="18">
                  <c:v>2.0573452383214397</c:v>
                </c:pt>
                <c:pt idx="19">
                  <c:v>2.2050719966276882</c:v>
                </c:pt>
                <c:pt idx="20">
                  <c:v>2.3527987549339375</c:v>
                </c:pt>
                <c:pt idx="21">
                  <c:v>2.500525513240186</c:v>
                </c:pt>
                <c:pt idx="22">
                  <c:v>2.6482522715464345</c:v>
                </c:pt>
                <c:pt idx="23">
                  <c:v>2.795979029852683</c:v>
                </c:pt>
                <c:pt idx="24">
                  <c:v>2.9437057881589315</c:v>
                </c:pt>
                <c:pt idx="25">
                  <c:v>3.0914325464651808</c:v>
                </c:pt>
                <c:pt idx="26">
                  <c:v>3.2391593047714293</c:v>
                </c:pt>
                <c:pt idx="27">
                  <c:v>3.3868860630776778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C-4A60-9017-80853F2230B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7">
                  <c:v>3.2443832300268696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8C-4A60-9017-80853F2230B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1'!$V$2:$V$56</c:f>
              <c:numCache>
                <c:formatCode>General</c:formatCode>
                <c:ptCount val="55"/>
              </c:numCache>
            </c:numRef>
          </c:xVal>
          <c:yVal>
            <c:numRef>
              <c:f>'Active 1'!$W$2:$W$56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58C-4A60-9017-80853F22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4088"/>
        <c:axId val="1"/>
      </c:scatterChart>
      <c:valAx>
        <c:axId val="734174088"/>
        <c:scaling>
          <c:orientation val="minMax"/>
          <c:max val="2"/>
          <c:min val="-1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3965200265247"/>
              <c:y val="0.85484096745971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4357034795766E-2"/>
              <c:y val="0.3870979030846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10757184096313"/>
          <c:y val="0.93011006688680042"/>
          <c:w val="0.78063603622920807"/>
          <c:h val="5.3763723083001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5426781797202883"/>
          <c:y val="3.2178217821782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6591319745307"/>
          <c:y val="0.12376237623762376"/>
          <c:w val="0.84219134050319"/>
          <c:h val="0.73762376237623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A-4493-BA33-EDB5794FCE7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A-4493-BA33-EDB5794FCE7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A-4493-BA33-EDB5794FCE7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8">
                  <c:v>3.3142696119321045</c:v>
                </c:pt>
                <c:pt idx="9">
                  <c:v>3.3228559938361286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A-4493-BA33-EDB5794FCE7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A-4493-BA33-EDB5794FCE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A-4493-BA33-EDB5794FCE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A-4493-BA33-EDB5794FCE73}"/>
            </c:ext>
          </c:extLst>
        </c:ser>
        <c:ser>
          <c:idx val="7"/>
          <c:order val="7"/>
          <c:tx>
            <c:strRef>
              <c:f>'Active 1'!$Y$1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1'!$X$2:$X$30</c:f>
              <c:numCache>
                <c:formatCode>General</c:formatCode>
                <c:ptCount val="29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</c:numCache>
            </c:numRef>
          </c:xVal>
          <c:yVal>
            <c:numRef>
              <c:f>'Active 1'!$Y$2:$Y$30</c:f>
              <c:numCache>
                <c:formatCode>General</c:formatCode>
                <c:ptCount val="29"/>
                <c:pt idx="0">
                  <c:v>-4.0374729627291737E-2</c:v>
                </c:pt>
                <c:pt idx="1">
                  <c:v>-2.5602053796666868E-2</c:v>
                </c:pt>
                <c:pt idx="2">
                  <c:v>-1.0829377966041998E-2</c:v>
                </c:pt>
                <c:pt idx="3">
                  <c:v>3.9432978645828724E-3</c:v>
                </c:pt>
                <c:pt idx="4">
                  <c:v>6.3034001187082356E-2</c:v>
                </c:pt>
                <c:pt idx="5">
                  <c:v>0.13689738034020671</c:v>
                </c:pt>
                <c:pt idx="6">
                  <c:v>0.28462413864645542</c:v>
                </c:pt>
                <c:pt idx="7">
                  <c:v>0.43235089695270407</c:v>
                </c:pt>
                <c:pt idx="8">
                  <c:v>0.58007765525895283</c:v>
                </c:pt>
                <c:pt idx="9">
                  <c:v>0.72780441356520142</c:v>
                </c:pt>
                <c:pt idx="10">
                  <c:v>0.87553117187145013</c:v>
                </c:pt>
                <c:pt idx="11">
                  <c:v>1.0232579301776989</c:v>
                </c:pt>
                <c:pt idx="12">
                  <c:v>1.1709846884839477</c:v>
                </c:pt>
                <c:pt idx="13">
                  <c:v>1.3187114467901964</c:v>
                </c:pt>
                <c:pt idx="14">
                  <c:v>1.4664382050964448</c:v>
                </c:pt>
                <c:pt idx="15">
                  <c:v>1.6141649634026936</c:v>
                </c:pt>
                <c:pt idx="16">
                  <c:v>1.7618917217089423</c:v>
                </c:pt>
                <c:pt idx="17">
                  <c:v>1.909618480015191</c:v>
                </c:pt>
                <c:pt idx="18">
                  <c:v>2.0573452383214397</c:v>
                </c:pt>
                <c:pt idx="19">
                  <c:v>2.2050719966276882</c:v>
                </c:pt>
                <c:pt idx="20">
                  <c:v>2.3527987549339375</c:v>
                </c:pt>
                <c:pt idx="21">
                  <c:v>2.500525513240186</c:v>
                </c:pt>
                <c:pt idx="22">
                  <c:v>2.6482522715464345</c:v>
                </c:pt>
                <c:pt idx="23">
                  <c:v>2.795979029852683</c:v>
                </c:pt>
                <c:pt idx="24">
                  <c:v>2.9437057881589315</c:v>
                </c:pt>
                <c:pt idx="25">
                  <c:v>3.0914325464651808</c:v>
                </c:pt>
                <c:pt idx="26">
                  <c:v>3.2391593047714293</c:v>
                </c:pt>
                <c:pt idx="27">
                  <c:v>3.3868860630776778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A-4493-BA33-EDB5794FCE7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2244</c:v>
                </c:pt>
                <c:pt idx="8">
                  <c:v>2250.5</c:v>
                </c:pt>
                <c:pt idx="9">
                  <c:v>2257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7">
                  <c:v>3.2443832300268696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A-4493-BA33-EDB5794FCE73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1'!$V$2:$V$29</c:f>
              <c:numCache>
                <c:formatCode>General</c:formatCode>
                <c:ptCount val="28"/>
              </c:numCache>
            </c:numRef>
          </c:xVal>
          <c:yVal>
            <c:numRef>
              <c:f>'Active 1'!$W$2:$W$29</c:f>
              <c:numCache>
                <c:formatCode>General</c:formatCode>
                <c:ptCount val="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7A-4493-BA33-EDB5794FC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6248"/>
        <c:axId val="1"/>
      </c:scatterChart>
      <c:valAx>
        <c:axId val="734176248"/>
        <c:scaling>
          <c:orientation val="minMax"/>
          <c:max val="2270"/>
          <c:min val="22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2242340480393"/>
              <c:y val="0.86386138613861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  <c:min val="3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29790660225443E-2"/>
              <c:y val="0.4183168316831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356435643564357"/>
          <c:w val="0.83091922688407904"/>
          <c:h val="4.950495049504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639097744360902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3440895499662664"/>
          <c:w val="0.84360902255639103"/>
          <c:h val="0.66935659588320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E3-4C52-ACC2-0EC884ADD02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E3-4C52-ACC2-0EC884ADD02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E3-4C52-ACC2-0EC884ADD02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7">
                  <c:v>14.885064938600408</c:v>
                </c:pt>
                <c:pt idx="8">
                  <c:v>15.104190829581057</c:v>
                </c:pt>
                <c:pt idx="9">
                  <c:v>15.112777211492357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E3-4C52-ACC2-0EC884ADD02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E3-4C52-ACC2-0EC884ADD02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E3-4C52-ACC2-0EC884ADD02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E3-4C52-ACC2-0EC884ADD02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1">
                  <c:v>-5.4263624878684275E-2</c:v>
                </c:pt>
                <c:pt idx="2">
                  <c:v>-5.0867903630579067E-2</c:v>
                </c:pt>
                <c:pt idx="3">
                  <c:v>-3.0493576141947795E-2</c:v>
                </c:pt>
                <c:pt idx="4">
                  <c:v>-6.7235274052113089E-3</c:v>
                </c:pt>
                <c:pt idx="5">
                  <c:v>1.3650800083419965E-2</c:v>
                </c:pt>
                <c:pt idx="6">
                  <c:v>1.7046521331525177E-2</c:v>
                </c:pt>
                <c:pt idx="7">
                  <c:v>14.992177225475512</c:v>
                </c:pt>
                <c:pt idx="8">
                  <c:v>15.032925880452773</c:v>
                </c:pt>
                <c:pt idx="9">
                  <c:v>15.077070256678141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E3-4C52-ACC2-0EC884ADD02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E3-4C52-ACC2-0EC884ADD02C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2'!$V$2:$V$56</c:f>
              <c:numCache>
                <c:formatCode>General</c:formatCode>
                <c:ptCount val="55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  <c:pt idx="28">
                  <c:v>2300</c:v>
                </c:pt>
                <c:pt idx="37">
                  <c:v>3300</c:v>
                </c:pt>
              </c:numCache>
            </c:numRef>
          </c:xVal>
          <c:yVal>
            <c:numRef>
              <c:f>'Active 2'!$W$2:$W$56</c:f>
              <c:numCache>
                <c:formatCode>General</c:formatCode>
                <c:ptCount val="55"/>
                <c:pt idx="0">
                  <c:v>-2.5760000000000002E-2</c:v>
                </c:pt>
                <c:pt idx="1">
                  <c:v>-1.2E-2</c:v>
                </c:pt>
                <c:pt idx="2">
                  <c:v>2.2399999999999998E-3</c:v>
                </c:pt>
                <c:pt idx="3">
                  <c:v>1.6959999999999999E-2</c:v>
                </c:pt>
                <c:pt idx="4">
                  <c:v>6.4000000000000001E-2</c:v>
                </c:pt>
                <c:pt idx="5">
                  <c:v>0.15199999999999997</c:v>
                </c:pt>
                <c:pt idx="6">
                  <c:v>0.36399999999999999</c:v>
                </c:pt>
                <c:pt idx="7">
                  <c:v>0.624</c:v>
                </c:pt>
                <c:pt idx="8">
                  <c:v>0.93199999999999994</c:v>
                </c:pt>
                <c:pt idx="9">
                  <c:v>1.2879999999999998</c:v>
                </c:pt>
                <c:pt idx="10">
                  <c:v>1.6919999999999999</c:v>
                </c:pt>
                <c:pt idx="11">
                  <c:v>2.1440000000000001</c:v>
                </c:pt>
                <c:pt idx="12">
                  <c:v>2.6440000000000001</c:v>
                </c:pt>
                <c:pt idx="13">
                  <c:v>3.1920000000000002</c:v>
                </c:pt>
                <c:pt idx="14">
                  <c:v>3.7879999999999998</c:v>
                </c:pt>
                <c:pt idx="15">
                  <c:v>4.4320000000000004</c:v>
                </c:pt>
                <c:pt idx="16">
                  <c:v>5.1239999999999997</c:v>
                </c:pt>
                <c:pt idx="17">
                  <c:v>5.8639999999999999</c:v>
                </c:pt>
                <c:pt idx="18">
                  <c:v>6.6519999999999992</c:v>
                </c:pt>
                <c:pt idx="19">
                  <c:v>7.4879999999999995</c:v>
                </c:pt>
                <c:pt idx="20">
                  <c:v>8.3719999999999999</c:v>
                </c:pt>
                <c:pt idx="21">
                  <c:v>9.3040000000000003</c:v>
                </c:pt>
                <c:pt idx="22">
                  <c:v>10.283999999999999</c:v>
                </c:pt>
                <c:pt idx="23">
                  <c:v>11.311999999999999</c:v>
                </c:pt>
                <c:pt idx="24">
                  <c:v>12.388</c:v>
                </c:pt>
                <c:pt idx="25">
                  <c:v>13.512</c:v>
                </c:pt>
                <c:pt idx="26">
                  <c:v>14.683999999999999</c:v>
                </c:pt>
                <c:pt idx="27">
                  <c:v>15.904</c:v>
                </c:pt>
                <c:pt idx="28">
                  <c:v>15.904</c:v>
                </c:pt>
                <c:pt idx="37">
                  <c:v>30.744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E3-4C52-ACC2-0EC884ADD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3368"/>
        <c:axId val="1"/>
      </c:scatterChart>
      <c:valAx>
        <c:axId val="734173368"/>
        <c:scaling>
          <c:orientation val="minMax"/>
          <c:max val="25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5484096745971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70979030846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90225563909774"/>
          <c:y val="0.93011006688680042"/>
          <c:w val="0.80451127819548873"/>
          <c:h val="5.3763723083001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5426781797202883"/>
          <c:y val="3.2178217821782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313678344025"/>
          <c:y val="0.12376237623762376"/>
          <c:w val="0.83413979805096061"/>
          <c:h val="0.6955445544554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27-41F1-81D3-289E1A6E38E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27-41F1-81D3-289E1A6E38E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27-41F1-81D3-289E1A6E38E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7">
                  <c:v>14.885064938600408</c:v>
                </c:pt>
                <c:pt idx="8">
                  <c:v>15.104190829581057</c:v>
                </c:pt>
                <c:pt idx="9">
                  <c:v>15.112777211492357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27-41F1-81D3-289E1A6E38E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27-41F1-81D3-289E1A6E38E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27-41F1-81D3-289E1A6E38E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27-41F1-81D3-289E1A6E38E7}"/>
            </c:ext>
          </c:extLst>
        </c:ser>
        <c:ser>
          <c:idx val="7"/>
          <c:order val="7"/>
          <c:tx>
            <c:strRef>
              <c:f>'Active 2'!$Y$1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2'!$X$2:$X$30</c:f>
              <c:numCache>
                <c:formatCode>General</c:formatCode>
                <c:ptCount val="29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  <c:pt idx="28">
                  <c:v>2300</c:v>
                </c:pt>
              </c:numCache>
            </c:numRef>
          </c:xVal>
          <c:yVal>
            <c:numRef>
              <c:f>'Active 2'!$Y$2:$Y$30</c:f>
              <c:numCache>
                <c:formatCode>General</c:formatCode>
                <c:ptCount val="29"/>
                <c:pt idx="0">
                  <c:v>-0.11878232859268331</c:v>
                </c:pt>
                <c:pt idx="1">
                  <c:v>-5.0867903630579067E-2</c:v>
                </c:pt>
                <c:pt idx="2">
                  <c:v>1.7046521331525177E-2</c:v>
                </c:pt>
                <c:pt idx="3">
                  <c:v>8.4960946293629422E-2</c:v>
                </c:pt>
                <c:pt idx="4">
                  <c:v>0.35661864614204641</c:v>
                </c:pt>
                <c:pt idx="5">
                  <c:v>0.69619077095256765</c:v>
                </c:pt>
                <c:pt idx="6">
                  <c:v>1.3753350205736101</c:v>
                </c:pt>
                <c:pt idx="7">
                  <c:v>2.0544792701946526</c:v>
                </c:pt>
                <c:pt idx="8">
                  <c:v>2.7336235198156951</c:v>
                </c:pt>
                <c:pt idx="9">
                  <c:v>3.4127677694367371</c:v>
                </c:pt>
                <c:pt idx="10">
                  <c:v>4.09191201905778</c:v>
                </c:pt>
                <c:pt idx="11">
                  <c:v>4.771056268678822</c:v>
                </c:pt>
                <c:pt idx="12">
                  <c:v>5.450200518299865</c:v>
                </c:pt>
                <c:pt idx="13">
                  <c:v>6.129344767920907</c:v>
                </c:pt>
                <c:pt idx="14">
                  <c:v>6.808489017541949</c:v>
                </c:pt>
                <c:pt idx="15">
                  <c:v>7.4876332671629919</c:v>
                </c:pt>
                <c:pt idx="16">
                  <c:v>8.166777516784034</c:v>
                </c:pt>
                <c:pt idx="17">
                  <c:v>8.8459217664050769</c:v>
                </c:pt>
                <c:pt idx="18">
                  <c:v>9.5250660160261198</c:v>
                </c:pt>
                <c:pt idx="19">
                  <c:v>10.204210265647163</c:v>
                </c:pt>
                <c:pt idx="20">
                  <c:v>10.883354515268206</c:v>
                </c:pt>
                <c:pt idx="21">
                  <c:v>11.562498764889245</c:v>
                </c:pt>
                <c:pt idx="22">
                  <c:v>12.241643014510288</c:v>
                </c:pt>
                <c:pt idx="23">
                  <c:v>12.920787264131331</c:v>
                </c:pt>
                <c:pt idx="24">
                  <c:v>13.599931513752374</c:v>
                </c:pt>
                <c:pt idx="25">
                  <c:v>14.279075763373417</c:v>
                </c:pt>
                <c:pt idx="26">
                  <c:v>14.95822001299446</c:v>
                </c:pt>
                <c:pt idx="27">
                  <c:v>15.637364262615502</c:v>
                </c:pt>
                <c:pt idx="28">
                  <c:v>15.637364262615502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27-41F1-81D3-289E1A6E38E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27-41F1-81D3-289E1A6E38E7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2'!$V$2:$V$29</c:f>
              <c:numCache>
                <c:formatCode>General</c:formatCode>
                <c:ptCount val="28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</c:numCache>
            </c:numRef>
          </c:xVal>
          <c:yVal>
            <c:numRef>
              <c:f>'Active 2'!$W$2:$W$29</c:f>
              <c:numCache>
                <c:formatCode>General</c:formatCode>
                <c:ptCount val="28"/>
                <c:pt idx="0">
                  <c:v>-2.5760000000000002E-2</c:v>
                </c:pt>
                <c:pt idx="1">
                  <c:v>-1.2E-2</c:v>
                </c:pt>
                <c:pt idx="2">
                  <c:v>2.2399999999999998E-3</c:v>
                </c:pt>
                <c:pt idx="3">
                  <c:v>1.6959999999999999E-2</c:v>
                </c:pt>
                <c:pt idx="4">
                  <c:v>6.4000000000000001E-2</c:v>
                </c:pt>
                <c:pt idx="5">
                  <c:v>0.15199999999999997</c:v>
                </c:pt>
                <c:pt idx="6">
                  <c:v>0.36399999999999999</c:v>
                </c:pt>
                <c:pt idx="7">
                  <c:v>0.624</c:v>
                </c:pt>
                <c:pt idx="8">
                  <c:v>0.93199999999999994</c:v>
                </c:pt>
                <c:pt idx="9">
                  <c:v>1.2879999999999998</c:v>
                </c:pt>
                <c:pt idx="10">
                  <c:v>1.6919999999999999</c:v>
                </c:pt>
                <c:pt idx="11">
                  <c:v>2.1440000000000001</c:v>
                </c:pt>
                <c:pt idx="12">
                  <c:v>2.6440000000000001</c:v>
                </c:pt>
                <c:pt idx="13">
                  <c:v>3.1920000000000002</c:v>
                </c:pt>
                <c:pt idx="14">
                  <c:v>3.7879999999999998</c:v>
                </c:pt>
                <c:pt idx="15">
                  <c:v>4.4320000000000004</c:v>
                </c:pt>
                <c:pt idx="16">
                  <c:v>5.1239999999999997</c:v>
                </c:pt>
                <c:pt idx="17">
                  <c:v>5.8639999999999999</c:v>
                </c:pt>
                <c:pt idx="18">
                  <c:v>6.6519999999999992</c:v>
                </c:pt>
                <c:pt idx="19">
                  <c:v>7.4879999999999995</c:v>
                </c:pt>
                <c:pt idx="20">
                  <c:v>8.3719999999999999</c:v>
                </c:pt>
                <c:pt idx="21">
                  <c:v>9.3040000000000003</c:v>
                </c:pt>
                <c:pt idx="22">
                  <c:v>10.283999999999999</c:v>
                </c:pt>
                <c:pt idx="23">
                  <c:v>11.311999999999999</c:v>
                </c:pt>
                <c:pt idx="24">
                  <c:v>12.388</c:v>
                </c:pt>
                <c:pt idx="25">
                  <c:v>13.512</c:v>
                </c:pt>
                <c:pt idx="26">
                  <c:v>14.683999999999999</c:v>
                </c:pt>
                <c:pt idx="27">
                  <c:v>15.904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27-41F1-81D3-289E1A6E3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1288"/>
        <c:axId val="1"/>
      </c:scatterChart>
      <c:valAx>
        <c:axId val="734181288"/>
        <c:scaling>
          <c:orientation val="minMax"/>
          <c:max val="2270"/>
          <c:min val="2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0905786535135"/>
              <c:y val="0.86386138613861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29790660225443E-2"/>
              <c:y val="0.396039603960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04525762782066"/>
          <c:y val="0.9356435643564357"/>
          <c:w val="0.86151504008858804"/>
          <c:h val="4.950495049504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G0420-1122- O-C Diagr.</a:t>
            </a:r>
          </a:p>
        </c:rich>
      </c:tx>
      <c:layout>
        <c:manualLayout>
          <c:xMode val="edge"/>
          <c:yMode val="edge"/>
          <c:x val="0.36336383627722207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440895499662664"/>
          <c:w val="0.82132252563480324"/>
          <c:h val="0.66935659588320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8-494F-9B58-3F81699DD4C1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D8-494F-9B58-3F81699DD4C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D8-494F-9B58-3F81699DD4C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">
                  <c:v>-2.6570309237285983E-2</c:v>
                </c:pt>
                <c:pt idx="2">
                  <c:v>-2.5809818318521138E-2</c:v>
                </c:pt>
                <c:pt idx="3">
                  <c:v>-2.0246872823918238E-2</c:v>
                </c:pt>
                <c:pt idx="4">
                  <c:v>-1.6923436414799653E-2</c:v>
                </c:pt>
                <c:pt idx="5">
                  <c:v>-1.2360490916762501E-2</c:v>
                </c:pt>
                <c:pt idx="6">
                  <c:v>-9.5999999975902028E-3</c:v>
                </c:pt>
                <c:pt idx="7">
                  <c:v>14.885064938600408</c:v>
                </c:pt>
                <c:pt idx="8">
                  <c:v>15.104190829581057</c:v>
                </c:pt>
                <c:pt idx="9">
                  <c:v>15.112777211492357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D8-494F-9B58-3F81699DD4C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D8-494F-9B58-3F81699DD4C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D8-494F-9B58-3F81699DD4C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1.9000000000000001E-4</c:v>
                  </c:pt>
                  <c:pt idx="2">
                    <c:v>1.55E-4</c:v>
                  </c:pt>
                  <c:pt idx="3">
                    <c:v>3.2000000000000003E-4</c:v>
                  </c:pt>
                  <c:pt idx="4">
                    <c:v>3.0699999999999998E-4</c:v>
                  </c:pt>
                  <c:pt idx="5">
                    <c:v>2.7900000000000001E-4</c:v>
                  </c:pt>
                  <c:pt idx="6">
                    <c:v>1.8900000000000001E-4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D8-494F-9B58-3F81699DD4C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2'!$X$2:$X$29</c:f>
              <c:numCache>
                <c:formatCode>General</c:formatCode>
                <c:ptCount val="28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</c:numCache>
            </c:numRef>
          </c:xVal>
          <c:yVal>
            <c:numRef>
              <c:f>'Active 2'!$Y$2:$Y$29</c:f>
              <c:numCache>
                <c:formatCode>General</c:formatCode>
                <c:ptCount val="28"/>
                <c:pt idx="0">
                  <c:v>-0.11878232859268331</c:v>
                </c:pt>
                <c:pt idx="1">
                  <c:v>-5.0867903630579067E-2</c:v>
                </c:pt>
                <c:pt idx="2">
                  <c:v>1.7046521331525177E-2</c:v>
                </c:pt>
                <c:pt idx="3">
                  <c:v>8.4960946293629422E-2</c:v>
                </c:pt>
                <c:pt idx="4">
                  <c:v>0.35661864614204641</c:v>
                </c:pt>
                <c:pt idx="5">
                  <c:v>0.69619077095256765</c:v>
                </c:pt>
                <c:pt idx="6">
                  <c:v>1.3753350205736101</c:v>
                </c:pt>
                <c:pt idx="7">
                  <c:v>2.0544792701946526</c:v>
                </c:pt>
                <c:pt idx="8">
                  <c:v>2.7336235198156951</c:v>
                </c:pt>
                <c:pt idx="9">
                  <c:v>3.4127677694367371</c:v>
                </c:pt>
                <c:pt idx="10">
                  <c:v>4.09191201905778</c:v>
                </c:pt>
                <c:pt idx="11">
                  <c:v>4.771056268678822</c:v>
                </c:pt>
                <c:pt idx="12">
                  <c:v>5.450200518299865</c:v>
                </c:pt>
                <c:pt idx="13">
                  <c:v>6.129344767920907</c:v>
                </c:pt>
                <c:pt idx="14">
                  <c:v>6.808489017541949</c:v>
                </c:pt>
                <c:pt idx="15">
                  <c:v>7.4876332671629919</c:v>
                </c:pt>
                <c:pt idx="16">
                  <c:v>8.166777516784034</c:v>
                </c:pt>
                <c:pt idx="17">
                  <c:v>8.8459217664050769</c:v>
                </c:pt>
                <c:pt idx="18">
                  <c:v>9.5250660160261198</c:v>
                </c:pt>
                <c:pt idx="19">
                  <c:v>10.204210265647163</c:v>
                </c:pt>
                <c:pt idx="20">
                  <c:v>10.883354515268206</c:v>
                </c:pt>
                <c:pt idx="21">
                  <c:v>11.562498764889245</c:v>
                </c:pt>
                <c:pt idx="22">
                  <c:v>12.241643014510288</c:v>
                </c:pt>
                <c:pt idx="23">
                  <c:v>12.920787264131331</c:v>
                </c:pt>
                <c:pt idx="24">
                  <c:v>13.599931513752374</c:v>
                </c:pt>
                <c:pt idx="25">
                  <c:v>14.279075763373417</c:v>
                </c:pt>
                <c:pt idx="26">
                  <c:v>14.95822001299446</c:v>
                </c:pt>
                <c:pt idx="27">
                  <c:v>15.637364262615502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D8-494F-9B58-3F81699DD4C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-10</c:v>
                </c:pt>
                <c:pt idx="3">
                  <c:v>-7</c:v>
                </c:pt>
                <c:pt idx="4">
                  <c:v>-3.5</c:v>
                </c:pt>
                <c:pt idx="5">
                  <c:v>-0.5</c:v>
                </c:pt>
                <c:pt idx="6">
                  <c:v>0</c:v>
                </c:pt>
                <c:pt idx="7">
                  <c:v>2205</c:v>
                </c:pt>
                <c:pt idx="8">
                  <c:v>2211</c:v>
                </c:pt>
                <c:pt idx="9">
                  <c:v>2217.5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D8-494F-9B58-3F81699DD4C1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2'!$V$2:$V$56</c:f>
              <c:numCache>
                <c:formatCode>General</c:formatCode>
                <c:ptCount val="55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  <c:pt idx="15">
                  <c:v>1100</c:v>
                </c:pt>
                <c:pt idx="16">
                  <c:v>1200</c:v>
                </c:pt>
                <c:pt idx="17">
                  <c:v>1300</c:v>
                </c:pt>
                <c:pt idx="18">
                  <c:v>1400</c:v>
                </c:pt>
                <c:pt idx="19">
                  <c:v>1500</c:v>
                </c:pt>
                <c:pt idx="20">
                  <c:v>1600</c:v>
                </c:pt>
                <c:pt idx="21">
                  <c:v>1700</c:v>
                </c:pt>
                <c:pt idx="22">
                  <c:v>1800</c:v>
                </c:pt>
                <c:pt idx="23">
                  <c:v>1900</c:v>
                </c:pt>
                <c:pt idx="24">
                  <c:v>2000</c:v>
                </c:pt>
                <c:pt idx="25">
                  <c:v>2100</c:v>
                </c:pt>
                <c:pt idx="26">
                  <c:v>2200</c:v>
                </c:pt>
                <c:pt idx="27">
                  <c:v>2300</c:v>
                </c:pt>
                <c:pt idx="28">
                  <c:v>2300</c:v>
                </c:pt>
                <c:pt idx="37">
                  <c:v>3300</c:v>
                </c:pt>
              </c:numCache>
            </c:numRef>
          </c:xVal>
          <c:yVal>
            <c:numRef>
              <c:f>'Active 2'!$W$2:$W$56</c:f>
              <c:numCache>
                <c:formatCode>General</c:formatCode>
                <c:ptCount val="55"/>
                <c:pt idx="0">
                  <c:v>-2.5760000000000002E-2</c:v>
                </c:pt>
                <c:pt idx="1">
                  <c:v>-1.2E-2</c:v>
                </c:pt>
                <c:pt idx="2">
                  <c:v>2.2399999999999998E-3</c:v>
                </c:pt>
                <c:pt idx="3">
                  <c:v>1.6959999999999999E-2</c:v>
                </c:pt>
                <c:pt idx="4">
                  <c:v>6.4000000000000001E-2</c:v>
                </c:pt>
                <c:pt idx="5">
                  <c:v>0.15199999999999997</c:v>
                </c:pt>
                <c:pt idx="6">
                  <c:v>0.36399999999999999</c:v>
                </c:pt>
                <c:pt idx="7">
                  <c:v>0.624</c:v>
                </c:pt>
                <c:pt idx="8">
                  <c:v>0.93199999999999994</c:v>
                </c:pt>
                <c:pt idx="9">
                  <c:v>1.2879999999999998</c:v>
                </c:pt>
                <c:pt idx="10">
                  <c:v>1.6919999999999999</c:v>
                </c:pt>
                <c:pt idx="11">
                  <c:v>2.1440000000000001</c:v>
                </c:pt>
                <c:pt idx="12">
                  <c:v>2.6440000000000001</c:v>
                </c:pt>
                <c:pt idx="13">
                  <c:v>3.1920000000000002</c:v>
                </c:pt>
                <c:pt idx="14">
                  <c:v>3.7879999999999998</c:v>
                </c:pt>
                <c:pt idx="15">
                  <c:v>4.4320000000000004</c:v>
                </c:pt>
                <c:pt idx="16">
                  <c:v>5.1239999999999997</c:v>
                </c:pt>
                <c:pt idx="17">
                  <c:v>5.8639999999999999</c:v>
                </c:pt>
                <c:pt idx="18">
                  <c:v>6.6519999999999992</c:v>
                </c:pt>
                <c:pt idx="19">
                  <c:v>7.4879999999999995</c:v>
                </c:pt>
                <c:pt idx="20">
                  <c:v>8.3719999999999999</c:v>
                </c:pt>
                <c:pt idx="21">
                  <c:v>9.3040000000000003</c:v>
                </c:pt>
                <c:pt idx="22">
                  <c:v>10.283999999999999</c:v>
                </c:pt>
                <c:pt idx="23">
                  <c:v>11.311999999999999</c:v>
                </c:pt>
                <c:pt idx="24">
                  <c:v>12.388</c:v>
                </c:pt>
                <c:pt idx="25">
                  <c:v>13.512</c:v>
                </c:pt>
                <c:pt idx="26">
                  <c:v>14.683999999999999</c:v>
                </c:pt>
                <c:pt idx="27">
                  <c:v>15.904</c:v>
                </c:pt>
                <c:pt idx="28">
                  <c:v>15.904</c:v>
                </c:pt>
                <c:pt idx="37">
                  <c:v>30.744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D8-494F-9B58-3F81699D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552040"/>
        <c:axId val="1"/>
      </c:scatterChart>
      <c:valAx>
        <c:axId val="730552040"/>
        <c:scaling>
          <c:orientation val="minMax"/>
          <c:max val="2"/>
          <c:min val="-1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3382122279763"/>
              <c:y val="0.85484096745971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70979030846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55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7749245308298"/>
          <c:y val="0.93011006688680042"/>
          <c:w val="0.80330440676897374"/>
          <c:h val="5.3763723083001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20</xdr:col>
      <xdr:colOff>66675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87E91686-B185-B56B-CD73-754BB4B6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11</xdr:col>
      <xdr:colOff>342900</xdr:colOff>
      <xdr:row>21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F7938C-82DB-088C-EA61-ED83F75AA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22</xdr:row>
      <xdr:rowOff>0</xdr:rowOff>
    </xdr:from>
    <xdr:to>
      <xdr:col>11</xdr:col>
      <xdr:colOff>114300</xdr:colOff>
      <xdr:row>45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74A7615-79C7-57A1-3772-DC7C60E04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28575</xdr:colOff>
      <xdr:row>17</xdr:row>
      <xdr:rowOff>180975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6D3203E0-45A0-A3B8-1F75-C4BFBF0C8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476251</xdr:colOff>
      <xdr:row>0</xdr:row>
      <xdr:rowOff>9525</xdr:rowOff>
    </xdr:from>
    <xdr:to>
      <xdr:col>27</xdr:col>
      <xdr:colOff>228601</xdr:colOff>
      <xdr:row>17</xdr:row>
      <xdr:rowOff>200025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F49BF224-9EDB-89F1-628E-89ED4F2D2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123825</xdr:rowOff>
    </xdr:from>
    <xdr:to>
      <xdr:col>11</xdr:col>
      <xdr:colOff>28575</xdr:colOff>
      <xdr:row>22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E89C678-E872-E6E0-0469-A7556E605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39"/>
  <sheetViews>
    <sheetView tabSelected="1" workbookViewId="0">
      <pane xSplit="14" ySplit="20" topLeftCell="O21" activePane="bottomRight" state="frozen"/>
      <selection pane="topRight" activeCell="O1" sqref="O1"/>
      <selection pane="bottomLeft" activeCell="A21" sqref="A21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3" width="10.28515625" customWidth="1"/>
    <col min="24" max="24" width="10.28515625" style="3" customWidth="1"/>
  </cols>
  <sheetData>
    <row r="1" spans="1:28" ht="21" thickBot="1" x14ac:dyDescent="0.35">
      <c r="A1" s="1" t="s">
        <v>55</v>
      </c>
      <c r="F1" s="44" t="s">
        <v>55</v>
      </c>
      <c r="G1" s="27" t="s">
        <v>56</v>
      </c>
      <c r="H1" s="45"/>
      <c r="I1" s="44" t="s">
        <v>55</v>
      </c>
      <c r="J1" s="44" t="s">
        <v>55</v>
      </c>
      <c r="K1" s="46">
        <v>17.465499999999999</v>
      </c>
      <c r="L1" s="46">
        <v>2.4948999999999999</v>
      </c>
      <c r="M1" s="47">
        <v>58609.910915858854</v>
      </c>
      <c r="N1" s="47">
        <v>0.29845744283533865</v>
      </c>
      <c r="O1" s="48" t="s">
        <v>57</v>
      </c>
      <c r="P1" s="48">
        <v>9.5500000000000007</v>
      </c>
      <c r="Q1" s="48">
        <v>99</v>
      </c>
      <c r="R1" s="49" t="s">
        <v>58</v>
      </c>
      <c r="S1" s="74" t="s">
        <v>59</v>
      </c>
      <c r="V1" s="4"/>
      <c r="W1" s="6"/>
      <c r="X1" s="4" t="s">
        <v>9</v>
      </c>
      <c r="Y1" s="4" t="s">
        <v>69</v>
      </c>
    </row>
    <row r="2" spans="1:28" x14ac:dyDescent="0.2">
      <c r="A2" t="s">
        <v>22</v>
      </c>
      <c r="B2" t="s">
        <v>57</v>
      </c>
      <c r="C2" s="26"/>
      <c r="D2" s="3"/>
      <c r="V2" s="63"/>
      <c r="W2" s="63"/>
      <c r="X2" s="3">
        <v>-20</v>
      </c>
      <c r="Y2">
        <f ca="1">C$11+X2*C$12</f>
        <v>-4.0374729627291737E-2</v>
      </c>
    </row>
    <row r="3" spans="1:28" ht="13.5" thickBot="1" x14ac:dyDescent="0.25">
      <c r="V3" s="63"/>
      <c r="W3" s="63"/>
      <c r="X3" s="3">
        <v>-10</v>
      </c>
      <c r="Y3">
        <f t="shared" ref="Y3:Y29" ca="1" si="0">C$11+X3*C$12</f>
        <v>-2.5602053796666868E-2</v>
      </c>
    </row>
    <row r="4" spans="1:28" ht="14.25" thickTop="1" thickBot="1" x14ac:dyDescent="0.25">
      <c r="A4" s="5" t="s">
        <v>0</v>
      </c>
      <c r="C4" s="23" t="s">
        <v>36</v>
      </c>
      <c r="D4" s="24" t="s">
        <v>36</v>
      </c>
      <c r="V4" s="63"/>
      <c r="W4" s="63"/>
      <c r="X4" s="3">
        <v>0</v>
      </c>
      <c r="Y4">
        <f t="shared" ca="1" si="0"/>
        <v>-1.0829377966041998E-2</v>
      </c>
      <c r="AA4" s="8">
        <v>58609.910900000003</v>
      </c>
    </row>
    <row r="5" spans="1:28" ht="13.5" thickTop="1" x14ac:dyDescent="0.2">
      <c r="A5" s="9" t="s">
        <v>27</v>
      </c>
      <c r="B5" s="10"/>
      <c r="C5" s="11">
        <v>-9.5</v>
      </c>
      <c r="D5" s="10" t="s">
        <v>28</v>
      </c>
      <c r="E5" s="10"/>
      <c r="V5" s="63"/>
      <c r="W5" s="63"/>
      <c r="X5" s="3">
        <v>10</v>
      </c>
      <c r="Y5">
        <f t="shared" ca="1" si="0"/>
        <v>3.9432978645828724E-3</v>
      </c>
      <c r="AA5" s="8">
        <v>58611.920899999997</v>
      </c>
      <c r="AB5">
        <f>AA5-AA4</f>
        <v>2.0099999999947613</v>
      </c>
    </row>
    <row r="6" spans="1:28" x14ac:dyDescent="0.2">
      <c r="A6" s="5" t="s">
        <v>1</v>
      </c>
      <c r="E6" s="78">
        <v>57936.869599999998</v>
      </c>
      <c r="V6" s="63"/>
      <c r="W6" s="63"/>
      <c r="X6" s="3">
        <v>50</v>
      </c>
      <c r="Y6">
        <f t="shared" ca="1" si="0"/>
        <v>6.3034001187082356E-2</v>
      </c>
    </row>
    <row r="7" spans="1:28" x14ac:dyDescent="0.2">
      <c r="A7" t="s">
        <v>2</v>
      </c>
      <c r="C7">
        <v>57936.8796</v>
      </c>
      <c r="D7" s="25" t="e">
        <v>#N/A</v>
      </c>
      <c r="E7" s="78">
        <v>57936.8796</v>
      </c>
      <c r="F7">
        <v>0.29847901816843703</v>
      </c>
      <c r="V7" s="63"/>
      <c r="W7" s="63"/>
      <c r="X7" s="3">
        <v>100</v>
      </c>
      <c r="Y7">
        <f t="shared" ca="1" si="0"/>
        <v>0.13689738034020671</v>
      </c>
      <c r="AA7">
        <v>5</v>
      </c>
      <c r="AB7">
        <f>AB$5/AA7</f>
        <v>0.40199999999895225</v>
      </c>
    </row>
    <row r="8" spans="1:28" ht="15" x14ac:dyDescent="0.25">
      <c r="A8" t="s">
        <v>3</v>
      </c>
      <c r="B8" s="8">
        <v>0.29845744283533865</v>
      </c>
      <c r="C8">
        <v>0.29847901816843703</v>
      </c>
      <c r="D8" s="25" t="e">
        <v>#N/A</v>
      </c>
      <c r="T8" s="51"/>
      <c r="V8" s="63"/>
      <c r="W8" s="63"/>
      <c r="X8" s="52">
        <v>200</v>
      </c>
      <c r="Y8">
        <f t="shared" ca="1" si="0"/>
        <v>0.28462413864645542</v>
      </c>
      <c r="Z8" s="52"/>
      <c r="AA8">
        <v>6</v>
      </c>
      <c r="AB8">
        <f>AB$5/AA8</f>
        <v>0.33499999999912689</v>
      </c>
    </row>
    <row r="9" spans="1:28" ht="15" x14ac:dyDescent="0.25">
      <c r="A9" s="22" t="s">
        <v>31</v>
      </c>
      <c r="B9" s="43">
        <v>21</v>
      </c>
      <c r="C9" s="20" t="str">
        <f>"F"&amp;B9</f>
        <v>F21</v>
      </c>
      <c r="D9" s="21" t="str">
        <f>"G"&amp;B9</f>
        <v>G21</v>
      </c>
      <c r="T9" s="51"/>
      <c r="V9" s="63"/>
      <c r="W9" s="63"/>
      <c r="X9" s="3">
        <v>300</v>
      </c>
      <c r="Y9">
        <f t="shared" ca="1" si="0"/>
        <v>0.43235089695270407</v>
      </c>
      <c r="Z9" s="52"/>
      <c r="AA9">
        <v>7</v>
      </c>
      <c r="AB9">
        <f>AB$5/AA9</f>
        <v>0.28714285714210874</v>
      </c>
    </row>
    <row r="10" spans="1:28" ht="15.75" thickBot="1" x14ac:dyDescent="0.3">
      <c r="A10" s="10"/>
      <c r="B10" s="10"/>
      <c r="C10" s="4" t="s">
        <v>18</v>
      </c>
      <c r="D10" s="4" t="s">
        <v>19</v>
      </c>
      <c r="T10" s="51"/>
      <c r="V10" s="63"/>
      <c r="W10" s="63"/>
      <c r="X10" s="52">
        <v>400</v>
      </c>
      <c r="Y10">
        <f t="shared" ca="1" si="0"/>
        <v>0.58007765525895283</v>
      </c>
      <c r="Z10" s="52"/>
      <c r="AA10">
        <v>8</v>
      </c>
      <c r="AB10">
        <f>AB$5/AA10</f>
        <v>0.25124999999934516</v>
      </c>
    </row>
    <row r="11" spans="1:28" ht="15" x14ac:dyDescent="0.25">
      <c r="A11" s="10" t="s">
        <v>14</v>
      </c>
      <c r="B11" s="10"/>
      <c r="C11" s="19">
        <f ca="1">INTERCEPT(INDIRECT($D$9):G999,INDIRECT($C$9):F999)</f>
        <v>-1.0829377966041998E-2</v>
      </c>
      <c r="E11" s="3"/>
      <c r="T11" s="51"/>
      <c r="V11" s="63"/>
      <c r="W11" s="63"/>
      <c r="X11" s="3">
        <v>500</v>
      </c>
      <c r="Y11">
        <f t="shared" ca="1" si="0"/>
        <v>0.72780441356520142</v>
      </c>
      <c r="Z11" s="52"/>
    </row>
    <row r="12" spans="1:28" ht="15" x14ac:dyDescent="0.25">
      <c r="A12" s="10" t="s">
        <v>15</v>
      </c>
      <c r="B12" s="10"/>
      <c r="C12" s="19">
        <f ca="1">SLOPE(INDIRECT($D$9):G999,INDIRECT($C$9):F999)</f>
        <v>1.477267583062487E-3</v>
      </c>
      <c r="E12" s="3" t="s">
        <v>73</v>
      </c>
      <c r="F12">
        <v>11</v>
      </c>
      <c r="T12" s="51"/>
      <c r="V12" s="63"/>
      <c r="W12" s="63"/>
      <c r="X12" s="52">
        <v>600</v>
      </c>
      <c r="Y12">
        <f t="shared" ca="1" si="0"/>
        <v>0.87553117187145013</v>
      </c>
      <c r="Z12" s="52"/>
    </row>
    <row r="13" spans="1:28" ht="15" x14ac:dyDescent="0.25">
      <c r="A13" s="10" t="s">
        <v>17</v>
      </c>
      <c r="B13" s="10"/>
      <c r="C13" s="3" t="s">
        <v>12</v>
      </c>
      <c r="E13" s="3"/>
      <c r="F13" s="53"/>
      <c r="T13" s="51"/>
      <c r="V13" s="63"/>
      <c r="W13" s="63"/>
      <c r="X13" s="3">
        <v>700</v>
      </c>
      <c r="Y13">
        <f t="shared" ca="1" si="0"/>
        <v>1.0232579301776989</v>
      </c>
      <c r="Z13" s="52"/>
    </row>
    <row r="14" spans="1:28" ht="15" x14ac:dyDescent="0.25">
      <c r="A14" s="10"/>
      <c r="B14" s="10"/>
      <c r="C14" s="10"/>
      <c r="D14" s="10"/>
      <c r="V14" s="63"/>
      <c r="W14" s="63"/>
      <c r="X14" s="52">
        <v>800</v>
      </c>
      <c r="Y14">
        <f t="shared" ca="1" si="0"/>
        <v>1.1709846884839477</v>
      </c>
    </row>
    <row r="15" spans="1:28" x14ac:dyDescent="0.2">
      <c r="A15" s="12" t="s">
        <v>16</v>
      </c>
      <c r="B15" s="10"/>
      <c r="C15" s="13">
        <f ca="1">(C7+C11)+(C8+C12)*INT(MAX(F21:F3532))</f>
        <v>58613.870107563169</v>
      </c>
      <c r="D15" s="21"/>
      <c r="E15" s="14" t="s">
        <v>33</v>
      </c>
      <c r="F15" s="28">
        <v>0.5</v>
      </c>
      <c r="V15" s="63"/>
      <c r="W15" s="63"/>
      <c r="X15" s="3">
        <v>900</v>
      </c>
      <c r="Y15">
        <f t="shared" ca="1" si="0"/>
        <v>1.3187114467901964</v>
      </c>
    </row>
    <row r="16" spans="1:28" ht="15" x14ac:dyDescent="0.25">
      <c r="A16" s="16" t="s">
        <v>4</v>
      </c>
      <c r="B16" s="10"/>
      <c r="C16" s="17">
        <f ca="1">+C8+C12</f>
        <v>0.29995628575149952</v>
      </c>
      <c r="D16" s="21"/>
      <c r="E16" s="14" t="s">
        <v>29</v>
      </c>
      <c r="F16" s="29">
        <f ca="1">NOW()+15018.5+$C$5/24</f>
        <v>60315.829511574069</v>
      </c>
      <c r="V16" s="63"/>
      <c r="W16" s="63"/>
      <c r="X16" s="52">
        <v>1000</v>
      </c>
      <c r="Y16">
        <f t="shared" ca="1" si="0"/>
        <v>1.4664382050964448</v>
      </c>
    </row>
    <row r="17" spans="1:25" ht="13.5" thickBot="1" x14ac:dyDescent="0.25">
      <c r="A17" s="14" t="s">
        <v>26</v>
      </c>
      <c r="B17" s="10"/>
      <c r="C17" s="73">
        <f>COUNT(C21:C2190)</f>
        <v>10</v>
      </c>
      <c r="D17" s="72"/>
      <c r="E17" s="14" t="s">
        <v>34</v>
      </c>
      <c r="F17" s="15">
        <f ca="1">ROUND(2*(F16-$C$7)/$C$8,0)/2+F15</f>
        <v>7970.5</v>
      </c>
      <c r="V17" s="63"/>
      <c r="W17" s="63"/>
      <c r="X17" s="3">
        <v>1100</v>
      </c>
      <c r="Y17">
        <f t="shared" ca="1" si="0"/>
        <v>1.6141649634026936</v>
      </c>
    </row>
    <row r="18" spans="1:25" ht="15.75" thickBot="1" x14ac:dyDescent="0.3">
      <c r="A18" s="5" t="s">
        <v>64</v>
      </c>
      <c r="C18" s="56">
        <f ca="1">+C15</f>
        <v>58613.870107563169</v>
      </c>
      <c r="D18" s="57">
        <f ca="1">C16</f>
        <v>0.29995628575149952</v>
      </c>
      <c r="E18" s="14" t="s">
        <v>35</v>
      </c>
      <c r="F18" s="21">
        <f ca="1">ROUND(2*(F16-$C$15)/$C$16,0)/2+F15</f>
        <v>5674.5</v>
      </c>
      <c r="V18" s="63"/>
      <c r="W18" s="63"/>
      <c r="X18" s="52">
        <v>1200</v>
      </c>
      <c r="Y18">
        <f t="shared" ca="1" si="0"/>
        <v>1.7618917217089423</v>
      </c>
    </row>
    <row r="19" spans="1:25" x14ac:dyDescent="0.2">
      <c r="A19" s="5"/>
      <c r="B19" s="72"/>
      <c r="C19" s="72"/>
      <c r="D19" s="72"/>
      <c r="E19" s="14" t="s">
        <v>30</v>
      </c>
      <c r="F19" s="18">
        <f ca="1">+$C$15+$C$16*F18-15018.5-$C$5/24</f>
        <v>45297.867884393389</v>
      </c>
      <c r="V19" s="63"/>
      <c r="W19" s="63"/>
      <c r="X19" s="3">
        <v>1300</v>
      </c>
      <c r="Y19">
        <f t="shared" ca="1" si="0"/>
        <v>1.909618480015191</v>
      </c>
    </row>
    <row r="20" spans="1:25" ht="15.75" thickBot="1" x14ac:dyDescent="0.3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23</v>
      </c>
      <c r="M20" s="7" t="s">
        <v>24</v>
      </c>
      <c r="N20" s="7" t="s">
        <v>25</v>
      </c>
      <c r="O20" s="7" t="s">
        <v>21</v>
      </c>
      <c r="P20" s="58" t="s">
        <v>20</v>
      </c>
      <c r="Q20" s="4" t="s">
        <v>13</v>
      </c>
      <c r="R20" s="59" t="s">
        <v>66</v>
      </c>
      <c r="S20" s="6" t="s">
        <v>67</v>
      </c>
      <c r="T20" s="59" t="s">
        <v>68</v>
      </c>
      <c r="U20" s="60" t="s">
        <v>74</v>
      </c>
      <c r="V20" s="63"/>
      <c r="W20" s="63"/>
      <c r="X20" s="52">
        <v>1400</v>
      </c>
      <c r="Y20">
        <f t="shared" ca="1" si="0"/>
        <v>2.0573452383214397</v>
      </c>
    </row>
    <row r="21" spans="1:25" x14ac:dyDescent="0.2">
      <c r="A21" t="s">
        <v>59</v>
      </c>
      <c r="C21" s="8">
        <v>57936.869599999998</v>
      </c>
      <c r="D21" s="8"/>
      <c r="E21">
        <f>+(C21-C$7)/C$8</f>
        <v>-3.3503192497082293E-2</v>
      </c>
      <c r="F21">
        <f>ROUND(2*E21,0)/2</f>
        <v>0</v>
      </c>
      <c r="P21" s="61"/>
      <c r="Q21" s="62">
        <f>+C21-15018.5</f>
        <v>42918.369599999998</v>
      </c>
      <c r="R21" s="63">
        <f>+(P21-G21)^2</f>
        <v>0</v>
      </c>
      <c r="S21" s="75">
        <v>1</v>
      </c>
      <c r="T21" s="63"/>
      <c r="U21" s="64"/>
      <c r="V21" s="63"/>
      <c r="W21" s="63"/>
      <c r="X21" s="3">
        <v>1500</v>
      </c>
      <c r="Y21">
        <f t="shared" ca="1" si="0"/>
        <v>2.2050719966276882</v>
      </c>
    </row>
    <row r="22" spans="1:25" ht="15" x14ac:dyDescent="0.25">
      <c r="A22" t="s">
        <v>61</v>
      </c>
      <c r="B22" s="52" t="s">
        <v>62</v>
      </c>
      <c r="C22" s="8">
        <v>57933.718999999997</v>
      </c>
      <c r="D22" s="77">
        <v>1.9000000000000001E-4</v>
      </c>
      <c r="E22">
        <f t="shared" ref="E22:E27" si="1">+(C22-C$7)/C$8</f>
        <v>-10.589019018480235</v>
      </c>
      <c r="F22">
        <f t="shared" ref="F22:F27" si="2">ROUND(2*E22,0)/2</f>
        <v>-10.5</v>
      </c>
      <c r="G22">
        <f t="shared" ref="G22:G30" si="3">+C22-(C$7+F22*C$8)</f>
        <v>-2.6570309237285983E-2</v>
      </c>
      <c r="K22">
        <f t="shared" ref="K22:K30" si="4">+G22</f>
        <v>-2.6570309237285983E-2</v>
      </c>
      <c r="O22">
        <f t="shared" ref="O22:O28" ca="1" si="5">+C$11+C$12*$F22</f>
        <v>-2.634068758819811E-2</v>
      </c>
      <c r="P22" s="61"/>
      <c r="Q22" s="2">
        <f t="shared" ref="Q22:Q27" si="6">+C22-15018.5</f>
        <v>42915.218999999997</v>
      </c>
      <c r="R22" s="63"/>
      <c r="S22" s="75">
        <v>1</v>
      </c>
      <c r="T22" s="63"/>
      <c r="V22" s="63"/>
      <c r="W22" s="63"/>
      <c r="X22" s="52">
        <v>1600</v>
      </c>
      <c r="Y22">
        <f t="shared" ca="1" si="0"/>
        <v>2.3527987549339375</v>
      </c>
    </row>
    <row r="23" spans="1:25" ht="15" x14ac:dyDescent="0.25">
      <c r="A23" t="s">
        <v>61</v>
      </c>
      <c r="B23" s="52" t="s">
        <v>63</v>
      </c>
      <c r="C23" s="8">
        <v>57933.868999999999</v>
      </c>
      <c r="D23" s="77">
        <v>1.55E-4</v>
      </c>
      <c r="E23">
        <f t="shared" si="1"/>
        <v>-10.086471131121508</v>
      </c>
      <c r="F23">
        <f t="shared" si="2"/>
        <v>-10</v>
      </c>
      <c r="G23">
        <f t="shared" si="3"/>
        <v>-2.5809818318521138E-2</v>
      </c>
      <c r="K23">
        <f t="shared" si="4"/>
        <v>-2.5809818318521138E-2</v>
      </c>
      <c r="O23">
        <f t="shared" ca="1" si="5"/>
        <v>-2.5602053796666868E-2</v>
      </c>
      <c r="P23" s="61"/>
      <c r="Q23" s="2">
        <f t="shared" si="6"/>
        <v>42915.368999999999</v>
      </c>
      <c r="R23" s="63"/>
      <c r="S23" s="75">
        <v>1</v>
      </c>
      <c r="T23" s="63"/>
      <c r="V23" s="63"/>
      <c r="W23" s="63"/>
      <c r="X23" s="3">
        <v>1700</v>
      </c>
      <c r="Y23">
        <f t="shared" ca="1" si="0"/>
        <v>2.500525513240186</v>
      </c>
    </row>
    <row r="24" spans="1:25" ht="15" x14ac:dyDescent="0.25">
      <c r="A24" t="s">
        <v>61</v>
      </c>
      <c r="B24" s="52" t="s">
        <v>63</v>
      </c>
      <c r="C24" s="8">
        <v>57934.77</v>
      </c>
      <c r="D24" s="77">
        <v>3.2000000000000003E-4</v>
      </c>
      <c r="E24">
        <f t="shared" si="1"/>
        <v>-7.0678334877560003</v>
      </c>
      <c r="F24">
        <f t="shared" si="2"/>
        <v>-7</v>
      </c>
      <c r="G24">
        <f t="shared" si="3"/>
        <v>-2.0246872823918238E-2</v>
      </c>
      <c r="K24">
        <f t="shared" si="4"/>
        <v>-2.0246872823918238E-2</v>
      </c>
      <c r="O24">
        <f t="shared" ca="1" si="5"/>
        <v>-2.1170251047479407E-2</v>
      </c>
      <c r="P24" s="61"/>
      <c r="Q24" s="2">
        <f t="shared" si="6"/>
        <v>42916.27</v>
      </c>
      <c r="R24" s="63"/>
      <c r="S24" s="75">
        <v>1</v>
      </c>
      <c r="T24" s="63"/>
      <c r="V24" s="63"/>
      <c r="W24" s="63"/>
      <c r="X24" s="52">
        <v>1800</v>
      </c>
      <c r="Y24">
        <f t="shared" ca="1" si="0"/>
        <v>2.6482522715464345</v>
      </c>
    </row>
    <row r="25" spans="1:25" ht="15" x14ac:dyDescent="0.25">
      <c r="A25" t="s">
        <v>61</v>
      </c>
      <c r="B25" s="52" t="s">
        <v>62</v>
      </c>
      <c r="C25" s="8">
        <v>57935.817999999999</v>
      </c>
      <c r="D25" s="77">
        <v>3.0699999999999998E-4</v>
      </c>
      <c r="E25">
        <f t="shared" si="1"/>
        <v>-3.5566989147687034</v>
      </c>
      <c r="F25">
        <f t="shared" si="2"/>
        <v>-3.5</v>
      </c>
      <c r="G25">
        <f t="shared" si="3"/>
        <v>-1.6923436414799653E-2</v>
      </c>
      <c r="K25">
        <f t="shared" si="4"/>
        <v>-1.6923436414799653E-2</v>
      </c>
      <c r="O25">
        <f t="shared" ca="1" si="5"/>
        <v>-1.5999814506760704E-2</v>
      </c>
      <c r="P25" s="61"/>
      <c r="Q25" s="2">
        <f t="shared" si="6"/>
        <v>42917.317999999999</v>
      </c>
      <c r="R25" s="63"/>
      <c r="S25" s="75">
        <v>1</v>
      </c>
      <c r="T25" s="63"/>
      <c r="V25" s="63"/>
      <c r="W25" s="63"/>
      <c r="X25" s="3">
        <v>1900</v>
      </c>
      <c r="Y25">
        <f t="shared" ca="1" si="0"/>
        <v>2.795979029852683</v>
      </c>
    </row>
    <row r="26" spans="1:25" ht="15" x14ac:dyDescent="0.25">
      <c r="A26" t="s">
        <v>61</v>
      </c>
      <c r="B26" s="52" t="s">
        <v>62</v>
      </c>
      <c r="C26" s="8">
        <v>57936.718000000001</v>
      </c>
      <c r="D26" s="77">
        <v>2.7900000000000001E-4</v>
      </c>
      <c r="E26">
        <f t="shared" si="1"/>
        <v>-0.54141159064071664</v>
      </c>
      <c r="F26">
        <f t="shared" si="2"/>
        <v>-0.5</v>
      </c>
      <c r="G26">
        <f t="shared" si="3"/>
        <v>-1.2360490916762501E-2</v>
      </c>
      <c r="K26">
        <f t="shared" si="4"/>
        <v>-1.2360490916762501E-2</v>
      </c>
      <c r="O26">
        <f t="shared" ca="1" si="5"/>
        <v>-1.1568011757573242E-2</v>
      </c>
      <c r="P26" s="61"/>
      <c r="Q26" s="2">
        <f t="shared" si="6"/>
        <v>42918.218000000001</v>
      </c>
      <c r="R26" s="63"/>
      <c r="S26" s="75">
        <v>1</v>
      </c>
      <c r="T26" s="63"/>
      <c r="V26" s="63"/>
      <c r="W26" s="63"/>
      <c r="X26" s="52">
        <v>2000</v>
      </c>
      <c r="Y26">
        <f t="shared" ca="1" si="0"/>
        <v>2.9437057881589315</v>
      </c>
    </row>
    <row r="27" spans="1:25" ht="15" x14ac:dyDescent="0.25">
      <c r="A27" t="s">
        <v>61</v>
      </c>
      <c r="B27" s="52" t="s">
        <v>63</v>
      </c>
      <c r="C27" s="8">
        <v>57936.87</v>
      </c>
      <c r="D27" s="77">
        <v>1.8900000000000001E-4</v>
      </c>
      <c r="E27">
        <f t="shared" si="1"/>
        <v>-3.2163064782572928E-2</v>
      </c>
      <c r="F27">
        <f t="shared" si="2"/>
        <v>0</v>
      </c>
      <c r="G27">
        <f t="shared" si="3"/>
        <v>-9.5999999975902028E-3</v>
      </c>
      <c r="K27">
        <f t="shared" si="4"/>
        <v>-9.5999999975902028E-3</v>
      </c>
      <c r="O27">
        <f t="shared" ca="1" si="5"/>
        <v>-1.0829377966041998E-2</v>
      </c>
      <c r="P27" s="61"/>
      <c r="Q27" s="2">
        <f t="shared" si="6"/>
        <v>42918.37</v>
      </c>
      <c r="R27" s="63"/>
      <c r="S27" s="75">
        <v>1</v>
      </c>
      <c r="T27" s="63"/>
      <c r="V27" s="63"/>
      <c r="W27" s="63"/>
      <c r="X27" s="3">
        <v>2100</v>
      </c>
      <c r="Y27">
        <f t="shared" ca="1" si="0"/>
        <v>3.0914325464651808</v>
      </c>
    </row>
    <row r="28" spans="1:25" ht="15" x14ac:dyDescent="0.25">
      <c r="A28" s="5" t="s">
        <v>60</v>
      </c>
      <c r="C28" s="8">
        <v>58609.910900000003</v>
      </c>
      <c r="D28" s="8">
        <v>5.0000000000000001E-4</v>
      </c>
      <c r="E28">
        <f>+(C28-C$7)/C$8</f>
        <v>2254.8697195867844</v>
      </c>
      <c r="F28">
        <f>ROUND(2*E28,0)/2-F$12</f>
        <v>2244</v>
      </c>
      <c r="O28">
        <f t="shared" ca="1" si="5"/>
        <v>3.3041590784261787</v>
      </c>
      <c r="P28" s="61"/>
      <c r="Q28" s="2">
        <f>+C28-15018.5</f>
        <v>43591.410900000003</v>
      </c>
      <c r="R28" s="63"/>
      <c r="S28" s="75"/>
      <c r="T28" s="63"/>
      <c r="U28">
        <f>+C28-(C$7+F28*C$8)</f>
        <v>3.2443832300268696</v>
      </c>
      <c r="V28" s="63"/>
      <c r="W28" s="63"/>
      <c r="X28" s="52">
        <v>2200</v>
      </c>
      <c r="Y28">
        <f t="shared" ca="1" si="0"/>
        <v>3.2391593047714293</v>
      </c>
    </row>
    <row r="29" spans="1:25" x14ac:dyDescent="0.2">
      <c r="A29" s="5" t="s">
        <v>60</v>
      </c>
      <c r="C29" s="8">
        <v>58611.920899999997</v>
      </c>
      <c r="D29" s="8">
        <v>4.0000000000000002E-4</v>
      </c>
      <c r="E29">
        <f>+(C29-C$7)/C$8</f>
        <v>2261.6038612773086</v>
      </c>
      <c r="F29">
        <f>ROUND(2*E29,0)/2-F$12</f>
        <v>2250.5</v>
      </c>
      <c r="G29">
        <f t="shared" si="3"/>
        <v>3.3142696119321045</v>
      </c>
      <c r="K29">
        <f t="shared" si="4"/>
        <v>3.3142696119321045</v>
      </c>
      <c r="O29">
        <f ca="1">+C$11+C$12*$F29</f>
        <v>3.313761317716085</v>
      </c>
      <c r="P29" s="61"/>
      <c r="Q29" s="2">
        <f>+C29-15018.5</f>
        <v>43593.420899999997</v>
      </c>
      <c r="R29" s="63"/>
      <c r="S29" s="75">
        <v>1</v>
      </c>
      <c r="T29" s="63"/>
      <c r="V29" s="63"/>
      <c r="W29" s="63"/>
      <c r="X29" s="3">
        <v>2300</v>
      </c>
      <c r="Y29">
        <f t="shared" ca="1" si="0"/>
        <v>3.3868860630776778</v>
      </c>
    </row>
    <row r="30" spans="1:25" ht="15" x14ac:dyDescent="0.25">
      <c r="A30" s="5" t="s">
        <v>60</v>
      </c>
      <c r="C30" s="76">
        <v>58613.869599999998</v>
      </c>
      <c r="D30" s="76">
        <v>2.0000000000000001E-4</v>
      </c>
      <c r="E30">
        <f>+(C30-C$7)/C$8</f>
        <v>2268.1326283978879</v>
      </c>
      <c r="F30">
        <f>ROUND(2*E30,0)/2-F$12</f>
        <v>2257</v>
      </c>
      <c r="G30">
        <f t="shared" si="3"/>
        <v>3.3228559938361286</v>
      </c>
      <c r="K30">
        <f t="shared" si="4"/>
        <v>3.3228559938361286</v>
      </c>
      <c r="O30">
        <f ca="1">+C$11+C$12*$F30</f>
        <v>3.3233635570059912</v>
      </c>
      <c r="P30" s="61"/>
      <c r="Q30" s="2">
        <f>+C30-15018.5</f>
        <v>43595.369599999998</v>
      </c>
      <c r="S30" s="75">
        <v>1</v>
      </c>
      <c r="V30" s="63"/>
      <c r="W30" s="63"/>
      <c r="X30" s="52"/>
    </row>
    <row r="31" spans="1:25" x14ac:dyDescent="0.2">
      <c r="C31" s="8"/>
      <c r="D31" s="8"/>
      <c r="Q31" s="2"/>
      <c r="V31" s="63"/>
      <c r="W31" s="63"/>
    </row>
    <row r="32" spans="1:25" ht="15" x14ac:dyDescent="0.25">
      <c r="C32" s="8"/>
      <c r="D32" s="8"/>
      <c r="Q32" s="2"/>
      <c r="V32" s="63"/>
      <c r="W32" s="63"/>
      <c r="X32" s="52"/>
    </row>
    <row r="33" spans="1:24" x14ac:dyDescent="0.2">
      <c r="C33" s="8"/>
      <c r="D33" s="8"/>
      <c r="V33" s="63"/>
      <c r="W33" s="63"/>
    </row>
    <row r="34" spans="1:24" ht="15" x14ac:dyDescent="0.25">
      <c r="A34" s="68"/>
      <c r="C34" s="8"/>
      <c r="D34" s="8"/>
      <c r="V34" s="63"/>
      <c r="W34" s="63"/>
      <c r="X34" s="52"/>
    </row>
    <row r="35" spans="1:24" x14ac:dyDescent="0.2">
      <c r="C35" s="8"/>
      <c r="D35" s="8"/>
      <c r="V35" s="63"/>
      <c r="W35" s="63"/>
    </row>
    <row r="36" spans="1:24" ht="15" x14ac:dyDescent="0.25">
      <c r="C36" s="8"/>
      <c r="D36" s="8"/>
      <c r="V36" s="63"/>
      <c r="W36" s="63"/>
      <c r="X36" s="52"/>
    </row>
    <row r="37" spans="1:24" x14ac:dyDescent="0.2">
      <c r="C37" s="8"/>
      <c r="D37" s="8"/>
      <c r="V37" s="63"/>
      <c r="W37" s="63"/>
    </row>
    <row r="38" spans="1:24" ht="15" x14ac:dyDescent="0.25">
      <c r="C38" s="8"/>
      <c r="D38" s="8"/>
      <c r="V38" s="63"/>
      <c r="W38" s="63"/>
      <c r="X38" s="52"/>
    </row>
    <row r="39" spans="1:24" x14ac:dyDescent="0.2">
      <c r="C39" s="8"/>
      <c r="D39" s="8"/>
      <c r="V39" s="63"/>
      <c r="W39" s="63"/>
    </row>
    <row r="40" spans="1:24" ht="15" x14ac:dyDescent="0.25">
      <c r="C40" s="8"/>
      <c r="D40" s="8"/>
      <c r="X40" s="52"/>
    </row>
    <row r="41" spans="1:24" x14ac:dyDescent="0.2">
      <c r="C41" s="8"/>
      <c r="D41" s="8"/>
    </row>
    <row r="42" spans="1:24" ht="15" x14ac:dyDescent="0.25">
      <c r="C42" s="8"/>
      <c r="D42" s="8"/>
      <c r="X42" s="52"/>
    </row>
    <row r="43" spans="1:24" x14ac:dyDescent="0.2">
      <c r="C43" s="8"/>
      <c r="D43" s="8"/>
    </row>
    <row r="44" spans="1:24" ht="15" x14ac:dyDescent="0.25">
      <c r="C44" s="8"/>
      <c r="D44" s="8"/>
      <c r="X44" s="52"/>
    </row>
    <row r="45" spans="1:24" x14ac:dyDescent="0.2">
      <c r="C45" s="8"/>
      <c r="D45" s="8"/>
    </row>
    <row r="46" spans="1:24" x14ac:dyDescent="0.2">
      <c r="C46" s="8"/>
      <c r="D46" s="8"/>
    </row>
    <row r="47" spans="1:24" x14ac:dyDescent="0.2">
      <c r="C47" s="8"/>
      <c r="D47" s="8"/>
    </row>
    <row r="48" spans="1:2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39"/>
  <sheetViews>
    <sheetView workbookViewId="0">
      <pane xSplit="14" ySplit="20" topLeftCell="O21" activePane="bottomRight" state="frozen"/>
      <selection pane="topRight" activeCell="O1" sqref="O1"/>
      <selection pane="bottomLeft" activeCell="A21" sqref="A21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3" width="10.28515625" customWidth="1"/>
    <col min="24" max="24" width="10.28515625" style="3" customWidth="1"/>
  </cols>
  <sheetData>
    <row r="1" spans="1:28" ht="21" thickBot="1" x14ac:dyDescent="0.35">
      <c r="A1" s="1" t="s">
        <v>55</v>
      </c>
      <c r="F1" s="44" t="s">
        <v>55</v>
      </c>
      <c r="G1" s="27" t="s">
        <v>56</v>
      </c>
      <c r="H1" s="45"/>
      <c r="I1" s="44" t="s">
        <v>55</v>
      </c>
      <c r="J1" s="44" t="s">
        <v>55</v>
      </c>
      <c r="K1" s="46">
        <v>17.465499999999999</v>
      </c>
      <c r="L1" s="46">
        <v>2.4948999999999999</v>
      </c>
      <c r="M1" s="47">
        <v>58609.910915858854</v>
      </c>
      <c r="N1" s="47">
        <v>0.29845744283533865</v>
      </c>
      <c r="O1" s="48" t="s">
        <v>57</v>
      </c>
      <c r="P1" s="48">
        <v>9.5500000000000007</v>
      </c>
      <c r="Q1" s="48">
        <v>99</v>
      </c>
      <c r="R1" s="49" t="s">
        <v>58</v>
      </c>
      <c r="S1" s="50" t="s">
        <v>59</v>
      </c>
      <c r="V1" s="4" t="s">
        <v>9</v>
      </c>
      <c r="W1" s="6" t="s">
        <v>20</v>
      </c>
      <c r="X1" s="4" t="s">
        <v>9</v>
      </c>
      <c r="Y1" s="4" t="s">
        <v>69</v>
      </c>
    </row>
    <row r="2" spans="1:28" x14ac:dyDescent="0.2">
      <c r="A2" t="s">
        <v>22</v>
      </c>
      <c r="B2" t="s">
        <v>57</v>
      </c>
      <c r="C2" s="26"/>
      <c r="D2" s="3"/>
      <c r="V2" s="63">
        <v>-10</v>
      </c>
      <c r="W2" s="63">
        <f t="shared" ref="W2:W29" si="0">+D$11+D$12*V2+D$13*V2^2</f>
        <v>-2.5760000000000002E-2</v>
      </c>
      <c r="X2" s="3">
        <v>-20</v>
      </c>
      <c r="Y2">
        <f t="shared" ref="Y2:Y29" ca="1" si="1">C$11+X2*C$12</f>
        <v>-0.11878232859268331</v>
      </c>
    </row>
    <row r="3" spans="1:28" ht="13.5" thickBot="1" x14ac:dyDescent="0.25">
      <c r="A3" s="69" t="s">
        <v>72</v>
      </c>
      <c r="B3" s="69"/>
      <c r="C3" s="69"/>
      <c r="D3" s="69"/>
      <c r="E3" s="69"/>
      <c r="V3" s="63">
        <v>0</v>
      </c>
      <c r="W3" s="63">
        <f t="shared" si="0"/>
        <v>-1.2E-2</v>
      </c>
      <c r="X3" s="3">
        <v>-10</v>
      </c>
      <c r="Y3">
        <f t="shared" ca="1" si="1"/>
        <v>-5.0867903630579067E-2</v>
      </c>
    </row>
    <row r="4" spans="1:28" ht="14.25" thickTop="1" thickBot="1" x14ac:dyDescent="0.25">
      <c r="A4" s="5" t="s">
        <v>0</v>
      </c>
      <c r="C4" s="23" t="s">
        <v>36</v>
      </c>
      <c r="D4" s="24" t="s">
        <v>36</v>
      </c>
      <c r="V4" s="63">
        <v>10</v>
      </c>
      <c r="W4" s="63">
        <f t="shared" si="0"/>
        <v>2.2399999999999998E-3</v>
      </c>
      <c r="X4" s="3">
        <v>0</v>
      </c>
      <c r="Y4">
        <f t="shared" ca="1" si="1"/>
        <v>1.7046521331525177E-2</v>
      </c>
      <c r="AA4" s="8">
        <v>58609.910900000003</v>
      </c>
    </row>
    <row r="5" spans="1:28" ht="13.5" thickTop="1" x14ac:dyDescent="0.2">
      <c r="A5" s="9" t="s">
        <v>27</v>
      </c>
      <c r="B5" s="10"/>
      <c r="C5" s="11">
        <v>8</v>
      </c>
      <c r="D5" s="10" t="s">
        <v>28</v>
      </c>
      <c r="E5" s="10"/>
      <c r="V5" s="63">
        <v>20</v>
      </c>
      <c r="W5" s="63">
        <f t="shared" si="0"/>
        <v>1.6959999999999999E-2</v>
      </c>
      <c r="X5" s="3">
        <v>10</v>
      </c>
      <c r="Y5">
        <f t="shared" ca="1" si="1"/>
        <v>8.4960946293629422E-2</v>
      </c>
      <c r="AA5" s="8">
        <v>58611.920899999997</v>
      </c>
      <c r="AB5">
        <f>AA5-AA4</f>
        <v>2.0099999999947613</v>
      </c>
    </row>
    <row r="6" spans="1:28" x14ac:dyDescent="0.2">
      <c r="A6" s="5" t="s">
        <v>1</v>
      </c>
      <c r="V6" s="63">
        <v>50</v>
      </c>
      <c r="W6" s="63">
        <f t="shared" si="0"/>
        <v>6.4000000000000001E-2</v>
      </c>
      <c r="X6" s="3">
        <v>50</v>
      </c>
      <c r="Y6">
        <f t="shared" ca="1" si="1"/>
        <v>0.35661864614204641</v>
      </c>
    </row>
    <row r="7" spans="1:28" x14ac:dyDescent="0.2">
      <c r="A7" t="s">
        <v>2</v>
      </c>
      <c r="B7" s="8">
        <v>57936.869599999998</v>
      </c>
      <c r="C7">
        <v>57936.8796</v>
      </c>
      <c r="D7" s="25" t="e">
        <v>#N/A</v>
      </c>
      <c r="E7">
        <v>57936.8796</v>
      </c>
      <c r="F7">
        <v>0.29847901816843703</v>
      </c>
      <c r="V7" s="63">
        <v>100</v>
      </c>
      <c r="W7" s="63">
        <f t="shared" si="0"/>
        <v>0.15199999999999997</v>
      </c>
      <c r="X7" s="3">
        <v>100</v>
      </c>
      <c r="Y7">
        <f t="shared" ca="1" si="1"/>
        <v>0.69619077095256765</v>
      </c>
      <c r="AA7">
        <v>5</v>
      </c>
      <c r="AB7">
        <f>AB$5/AA7</f>
        <v>0.40199999999895225</v>
      </c>
    </row>
    <row r="8" spans="1:28" ht="15" x14ac:dyDescent="0.25">
      <c r="A8" t="s">
        <v>3</v>
      </c>
      <c r="B8" s="8">
        <v>0.29845744283533865</v>
      </c>
      <c r="C8">
        <v>0.29847901816843703</v>
      </c>
      <c r="D8" s="25" t="e">
        <v>#N/A</v>
      </c>
      <c r="T8" s="51"/>
      <c r="V8" s="63">
        <v>200</v>
      </c>
      <c r="W8" s="63">
        <f t="shared" si="0"/>
        <v>0.36399999999999999</v>
      </c>
      <c r="X8" s="52">
        <v>200</v>
      </c>
      <c r="Y8">
        <f t="shared" ca="1" si="1"/>
        <v>1.3753350205736101</v>
      </c>
      <c r="Z8" s="52"/>
      <c r="AA8">
        <v>6</v>
      </c>
      <c r="AB8">
        <f>AB$5/AA8</f>
        <v>0.33499999999912689</v>
      </c>
    </row>
    <row r="9" spans="1:28" ht="15" x14ac:dyDescent="0.25">
      <c r="A9" s="22" t="s">
        <v>31</v>
      </c>
      <c r="B9" s="43">
        <v>21</v>
      </c>
      <c r="C9" s="20" t="str">
        <f>"F"&amp;B9</f>
        <v>F21</v>
      </c>
      <c r="D9" s="21" t="str">
        <f>"G"&amp;B9</f>
        <v>G21</v>
      </c>
      <c r="T9" s="51"/>
      <c r="V9" s="63">
        <v>300</v>
      </c>
      <c r="W9" s="63">
        <f t="shared" si="0"/>
        <v>0.624</v>
      </c>
      <c r="X9" s="3">
        <v>300</v>
      </c>
      <c r="Y9">
        <f t="shared" ca="1" si="1"/>
        <v>2.0544792701946526</v>
      </c>
      <c r="Z9" s="52"/>
      <c r="AA9">
        <v>7</v>
      </c>
      <c r="AB9">
        <f>AB$5/AA9</f>
        <v>0.28714285714210874</v>
      </c>
    </row>
    <row r="10" spans="1:28" ht="15.75" thickBot="1" x14ac:dyDescent="0.3">
      <c r="A10" s="10"/>
      <c r="B10" s="10"/>
      <c r="C10" s="4" t="s">
        <v>18</v>
      </c>
      <c r="D10" s="4" t="s">
        <v>19</v>
      </c>
      <c r="E10">
        <v>50</v>
      </c>
      <c r="T10" s="51"/>
      <c r="V10" s="63">
        <v>400</v>
      </c>
      <c r="W10" s="63">
        <f t="shared" si="0"/>
        <v>0.93199999999999994</v>
      </c>
      <c r="X10" s="52">
        <v>400</v>
      </c>
      <c r="Y10">
        <f t="shared" ca="1" si="1"/>
        <v>2.7336235198156951</v>
      </c>
      <c r="Z10" s="52"/>
      <c r="AA10">
        <v>8</v>
      </c>
      <c r="AB10">
        <f>AB$5/AA10</f>
        <v>0.25124999999934516</v>
      </c>
    </row>
    <row r="11" spans="1:28" ht="15" x14ac:dyDescent="0.25">
      <c r="A11" s="10" t="s">
        <v>14</v>
      </c>
      <c r="B11" s="10"/>
      <c r="C11" s="19">
        <f ca="1">INTERCEPT(INDIRECT($D$9):G991,INDIRECT($C$9):F991)</f>
        <v>1.7046521331525177E-2</v>
      </c>
      <c r="D11" s="3">
        <f>+E11*F11</f>
        <v>-1.2E-2</v>
      </c>
      <c r="E11" s="65">
        <v>-1.2E-2</v>
      </c>
      <c r="F11">
        <v>1</v>
      </c>
      <c r="T11" s="51"/>
      <c r="V11" s="63">
        <v>500</v>
      </c>
      <c r="W11" s="63">
        <f t="shared" si="0"/>
        <v>1.2879999999999998</v>
      </c>
      <c r="X11" s="3">
        <v>500</v>
      </c>
      <c r="Y11">
        <f t="shared" ca="1" si="1"/>
        <v>3.4127677694367371</v>
      </c>
      <c r="Z11" s="52"/>
    </row>
    <row r="12" spans="1:28" ht="15" x14ac:dyDescent="0.25">
      <c r="A12" s="10" t="s">
        <v>15</v>
      </c>
      <c r="B12" s="10"/>
      <c r="C12" s="19">
        <f ca="1">SLOPE(INDIRECT($D$9):G991,INDIRECT($C$9):F991)</f>
        <v>6.7914424962104243E-3</v>
      </c>
      <c r="D12" s="3">
        <f>+E12*F12</f>
        <v>1.4E-3</v>
      </c>
      <c r="E12" s="66">
        <v>14</v>
      </c>
      <c r="F12" s="53">
        <v>1E-4</v>
      </c>
      <c r="T12" s="51"/>
      <c r="V12" s="63">
        <v>600</v>
      </c>
      <c r="W12" s="63">
        <f t="shared" si="0"/>
        <v>1.6919999999999999</v>
      </c>
      <c r="X12" s="52">
        <v>600</v>
      </c>
      <c r="Y12">
        <f t="shared" ca="1" si="1"/>
        <v>4.09191201905778</v>
      </c>
      <c r="Z12" s="52"/>
    </row>
    <row r="13" spans="1:28" ht="15.75" thickBot="1" x14ac:dyDescent="0.3">
      <c r="A13" s="10" t="s">
        <v>17</v>
      </c>
      <c r="B13" s="10"/>
      <c r="C13" s="3" t="s">
        <v>12</v>
      </c>
      <c r="D13" s="3">
        <f>+E13*F13</f>
        <v>2.3999999999999999E-6</v>
      </c>
      <c r="E13" s="67">
        <v>240</v>
      </c>
      <c r="F13" s="53">
        <v>1E-8</v>
      </c>
      <c r="T13" s="51"/>
      <c r="V13" s="63">
        <v>700</v>
      </c>
      <c r="W13" s="63">
        <f t="shared" si="0"/>
        <v>2.1440000000000001</v>
      </c>
      <c r="X13" s="3">
        <v>700</v>
      </c>
      <c r="Y13">
        <f t="shared" ca="1" si="1"/>
        <v>4.771056268678822</v>
      </c>
      <c r="Z13" s="52"/>
    </row>
    <row r="14" spans="1:28" ht="15.75" thickBot="1" x14ac:dyDescent="0.3">
      <c r="A14" s="10" t="s">
        <v>70</v>
      </c>
      <c r="B14" s="10"/>
      <c r="C14" s="70" t="s">
        <v>71</v>
      </c>
      <c r="D14" s="71">
        <f>2*E14*365.24/C8</f>
        <v>369.74223434206112</v>
      </c>
      <c r="E14">
        <f>SUM(T21:T950)</f>
        <v>0.15107915217640805</v>
      </c>
      <c r="V14" s="63">
        <v>800</v>
      </c>
      <c r="W14" s="63">
        <f t="shared" si="0"/>
        <v>2.6440000000000001</v>
      </c>
      <c r="X14" s="52">
        <v>800</v>
      </c>
      <c r="Y14">
        <f t="shared" ca="1" si="1"/>
        <v>5.450200518299865</v>
      </c>
    </row>
    <row r="15" spans="1:28" x14ac:dyDescent="0.2">
      <c r="A15" s="12" t="s">
        <v>16</v>
      </c>
      <c r="B15" s="10"/>
      <c r="C15" s="13">
        <f ca="1">(C7+C11)+(C8+C12)*INT(MAX(F21:F3532))</f>
        <v>58613.681257814853</v>
      </c>
      <c r="D15" s="21">
        <f>+C7+INT(MAX(F21:F1588))*C8+D11+D12*INT(MAX(F21:F4023))+D13*INT(MAX(F21:F4050)^2)</f>
        <v>58613.500917679419</v>
      </c>
      <c r="E15" s="14" t="s">
        <v>33</v>
      </c>
      <c r="F15" s="28">
        <v>1</v>
      </c>
      <c r="V15" s="63">
        <v>900</v>
      </c>
      <c r="W15" s="63">
        <f t="shared" si="0"/>
        <v>3.1920000000000002</v>
      </c>
      <c r="X15" s="3">
        <v>900</v>
      </c>
      <c r="Y15">
        <f t="shared" ca="1" si="1"/>
        <v>6.129344767920907</v>
      </c>
    </row>
    <row r="16" spans="1:28" ht="15" x14ac:dyDescent="0.25">
      <c r="A16" s="16" t="s">
        <v>4</v>
      </c>
      <c r="B16" s="10"/>
      <c r="C16" s="17">
        <f ca="1">+C8+C12</f>
        <v>0.30527046066464747</v>
      </c>
      <c r="D16" s="21">
        <f>+C8+D12+2*D13*MAX(F21:F896)</f>
        <v>0.31052301816843703</v>
      </c>
      <c r="E16" s="14" t="s">
        <v>29</v>
      </c>
      <c r="F16" s="29">
        <f ca="1">NOW()+15018.5+$C$5/24</f>
        <v>60316.558678240741</v>
      </c>
      <c r="V16" s="63">
        <v>1000</v>
      </c>
      <c r="W16" s="63">
        <f t="shared" si="0"/>
        <v>3.7879999999999998</v>
      </c>
      <c r="X16" s="52">
        <v>1000</v>
      </c>
      <c r="Y16">
        <f t="shared" ca="1" si="1"/>
        <v>6.808489017541949</v>
      </c>
    </row>
    <row r="17" spans="1:25" ht="13.5" thickBot="1" x14ac:dyDescent="0.25">
      <c r="A17" s="14" t="s">
        <v>26</v>
      </c>
      <c r="B17" s="10"/>
      <c r="C17" s="10">
        <f>COUNT(C21:C2190)</f>
        <v>10</v>
      </c>
      <c r="E17" s="14" t="s">
        <v>34</v>
      </c>
      <c r="F17" s="15">
        <f ca="1">ROUND(2*(F16-$C$7)/$C$8,0)/2+F15</f>
        <v>7973.5</v>
      </c>
      <c r="V17" s="63">
        <v>1100</v>
      </c>
      <c r="W17" s="63">
        <f t="shared" si="0"/>
        <v>4.4320000000000004</v>
      </c>
      <c r="X17" s="3">
        <v>1100</v>
      </c>
      <c r="Y17">
        <f t="shared" ca="1" si="1"/>
        <v>7.4876332671629919</v>
      </c>
    </row>
    <row r="18" spans="1:25" ht="16.5" thickTop="1" thickBot="1" x14ac:dyDescent="0.3">
      <c r="A18" s="5" t="s">
        <v>64</v>
      </c>
      <c r="C18" s="54">
        <f ca="1">+C15</f>
        <v>58613.681257814853</v>
      </c>
      <c r="D18" s="55">
        <f ca="1">C16</f>
        <v>0.30527046066464747</v>
      </c>
      <c r="E18" s="14" t="s">
        <v>35</v>
      </c>
      <c r="F18" s="21">
        <f ca="1">ROUND(2*(F16-$C$15)/$C$16,0)/2+F15</f>
        <v>5579.5</v>
      </c>
      <c r="V18" s="63">
        <v>1200</v>
      </c>
      <c r="W18" s="63">
        <f t="shared" si="0"/>
        <v>5.1239999999999997</v>
      </c>
      <c r="X18" s="52">
        <v>1200</v>
      </c>
      <c r="Y18">
        <f t="shared" ca="1" si="1"/>
        <v>8.166777516784034</v>
      </c>
    </row>
    <row r="19" spans="1:25" ht="13.5" thickBot="1" x14ac:dyDescent="0.25">
      <c r="A19" s="5" t="s">
        <v>65</v>
      </c>
      <c r="C19" s="56">
        <f>+D15</f>
        <v>58613.500917679419</v>
      </c>
      <c r="D19" s="57">
        <f>+D16</f>
        <v>0.31052301816843703</v>
      </c>
      <c r="E19" s="14" t="s">
        <v>30</v>
      </c>
      <c r="F19" s="18">
        <f ca="1">+$C$15+$C$16*F18-15018.5-$C$5/24</f>
        <v>45298.104459759918</v>
      </c>
      <c r="V19" s="63">
        <v>1300</v>
      </c>
      <c r="W19" s="63">
        <f t="shared" si="0"/>
        <v>5.8639999999999999</v>
      </c>
      <c r="X19" s="3">
        <v>1300</v>
      </c>
      <c r="Y19">
        <f t="shared" ca="1" si="1"/>
        <v>8.8459217664050769</v>
      </c>
    </row>
    <row r="20" spans="1:25" ht="15.75" thickBot="1" x14ac:dyDescent="0.3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23</v>
      </c>
      <c r="M20" s="7" t="s">
        <v>24</v>
      </c>
      <c r="N20" s="7" t="s">
        <v>25</v>
      </c>
      <c r="O20" s="7" t="s">
        <v>21</v>
      </c>
      <c r="P20" s="58" t="s">
        <v>20</v>
      </c>
      <c r="Q20" s="4" t="s">
        <v>13</v>
      </c>
      <c r="R20" s="59" t="s">
        <v>66</v>
      </c>
      <c r="S20" s="6" t="s">
        <v>67</v>
      </c>
      <c r="T20" s="59" t="s">
        <v>68</v>
      </c>
      <c r="U20" s="60" t="s">
        <v>32</v>
      </c>
      <c r="V20" s="63">
        <v>1400</v>
      </c>
      <c r="W20" s="63">
        <f t="shared" si="0"/>
        <v>6.6519999999999992</v>
      </c>
      <c r="X20" s="52">
        <v>1400</v>
      </c>
      <c r="Y20">
        <f t="shared" ca="1" si="1"/>
        <v>9.5250660160261198</v>
      </c>
    </row>
    <row r="21" spans="1:25" x14ac:dyDescent="0.2">
      <c r="A21" t="s">
        <v>59</v>
      </c>
      <c r="C21" s="8">
        <v>57936.869599999998</v>
      </c>
      <c r="D21" s="8"/>
      <c r="E21">
        <f t="shared" ref="E21:E29" si="2">+(C21-C$7)/C$8</f>
        <v>-3.3503192497082293E-2</v>
      </c>
      <c r="F21">
        <f t="shared" ref="F21:F27" si="3">ROUND(2*E21,0)/2</f>
        <v>0</v>
      </c>
      <c r="P21" s="61">
        <f t="shared" ref="P21:P29" si="4">+D$11+D$12*F21+D$13*F21^2</f>
        <v>-1.2E-2</v>
      </c>
      <c r="Q21" s="62">
        <f t="shared" ref="Q21:Q29" si="5">+C21-15018.5</f>
        <v>42918.369599999998</v>
      </c>
      <c r="R21" s="63">
        <f t="shared" ref="R21:R29" si="6">+(P21-G21)^2</f>
        <v>1.44E-4</v>
      </c>
      <c r="S21" s="63">
        <v>1</v>
      </c>
      <c r="T21" s="63">
        <f t="shared" ref="T21:T29" si="7">+S21*R21</f>
        <v>1.44E-4</v>
      </c>
      <c r="U21" s="64"/>
      <c r="V21" s="63">
        <v>1500</v>
      </c>
      <c r="W21" s="63">
        <f t="shared" si="0"/>
        <v>7.4879999999999995</v>
      </c>
      <c r="X21" s="3">
        <v>1500</v>
      </c>
      <c r="Y21">
        <f t="shared" ca="1" si="1"/>
        <v>10.204210265647163</v>
      </c>
    </row>
    <row r="22" spans="1:25" ht="15" x14ac:dyDescent="0.25">
      <c r="A22" t="s">
        <v>61</v>
      </c>
      <c r="B22" s="52" t="s">
        <v>62</v>
      </c>
      <c r="C22" s="8">
        <v>57933.718999999997</v>
      </c>
      <c r="D22" s="52">
        <v>1.9000000000000001E-4</v>
      </c>
      <c r="E22">
        <f t="shared" si="2"/>
        <v>-10.589019018480235</v>
      </c>
      <c r="F22">
        <f t="shared" si="3"/>
        <v>-10.5</v>
      </c>
      <c r="G22">
        <f t="shared" ref="G22:G29" si="8">+C22-(C$7+F22*C$8)</f>
        <v>-2.6570309237285983E-2</v>
      </c>
      <c r="K22">
        <f t="shared" ref="K22:K29" si="9">+G22</f>
        <v>-2.6570309237285983E-2</v>
      </c>
      <c r="O22">
        <f t="shared" ref="O22:O29" ca="1" si="10">+C$11+C$12*$F22</f>
        <v>-5.4263624878684275E-2</v>
      </c>
      <c r="P22" s="61">
        <f t="shared" si="4"/>
        <v>-2.6435400000000001E-2</v>
      </c>
      <c r="Q22" s="2">
        <f t="shared" si="5"/>
        <v>42915.218999999997</v>
      </c>
      <c r="R22" s="63">
        <f t="shared" si="6"/>
        <v>1.8200502305085279E-8</v>
      </c>
      <c r="S22" s="63">
        <v>1</v>
      </c>
      <c r="T22" s="63">
        <f t="shared" si="7"/>
        <v>1.8200502305085279E-8</v>
      </c>
      <c r="V22" s="63">
        <v>1600</v>
      </c>
      <c r="W22" s="63">
        <f t="shared" si="0"/>
        <v>8.3719999999999999</v>
      </c>
      <c r="X22" s="52">
        <v>1600</v>
      </c>
      <c r="Y22">
        <f t="shared" ca="1" si="1"/>
        <v>10.883354515268206</v>
      </c>
    </row>
    <row r="23" spans="1:25" ht="15" x14ac:dyDescent="0.25">
      <c r="A23" t="s">
        <v>61</v>
      </c>
      <c r="B23" s="52" t="s">
        <v>63</v>
      </c>
      <c r="C23" s="8">
        <v>57933.868999999999</v>
      </c>
      <c r="D23" s="52">
        <v>1.55E-4</v>
      </c>
      <c r="E23">
        <f t="shared" si="2"/>
        <v>-10.086471131121508</v>
      </c>
      <c r="F23">
        <f t="shared" si="3"/>
        <v>-10</v>
      </c>
      <c r="G23">
        <f t="shared" si="8"/>
        <v>-2.5809818318521138E-2</v>
      </c>
      <c r="K23">
        <f t="shared" si="9"/>
        <v>-2.5809818318521138E-2</v>
      </c>
      <c r="O23">
        <f t="shared" ca="1" si="10"/>
        <v>-5.0867903630579067E-2</v>
      </c>
      <c r="P23" s="61">
        <f t="shared" si="4"/>
        <v>-2.5760000000000002E-2</v>
      </c>
      <c r="Q23" s="2">
        <f t="shared" si="5"/>
        <v>42915.368999999999</v>
      </c>
      <c r="R23" s="63">
        <f t="shared" si="6"/>
        <v>2.4818648602734255E-9</v>
      </c>
      <c r="S23" s="63">
        <v>1</v>
      </c>
      <c r="T23" s="63">
        <f t="shared" si="7"/>
        <v>2.4818648602734255E-9</v>
      </c>
      <c r="V23" s="63">
        <v>1700</v>
      </c>
      <c r="W23" s="63">
        <f t="shared" si="0"/>
        <v>9.3040000000000003</v>
      </c>
      <c r="X23" s="3">
        <v>1700</v>
      </c>
      <c r="Y23">
        <f t="shared" ca="1" si="1"/>
        <v>11.562498764889245</v>
      </c>
    </row>
    <row r="24" spans="1:25" ht="15" x14ac:dyDescent="0.25">
      <c r="A24" t="s">
        <v>61</v>
      </c>
      <c r="B24" s="52" t="s">
        <v>63</v>
      </c>
      <c r="C24" s="8">
        <v>57934.77</v>
      </c>
      <c r="D24" s="52">
        <v>3.2000000000000003E-4</v>
      </c>
      <c r="E24">
        <f t="shared" si="2"/>
        <v>-7.0678334877560003</v>
      </c>
      <c r="F24">
        <f t="shared" si="3"/>
        <v>-7</v>
      </c>
      <c r="G24">
        <f t="shared" si="8"/>
        <v>-2.0246872823918238E-2</v>
      </c>
      <c r="K24">
        <f t="shared" si="9"/>
        <v>-2.0246872823918238E-2</v>
      </c>
      <c r="O24">
        <f t="shared" ca="1" si="10"/>
        <v>-3.0493576141947795E-2</v>
      </c>
      <c r="P24" s="61">
        <f t="shared" si="4"/>
        <v>-2.1682400000000001E-2</v>
      </c>
      <c r="Q24" s="2">
        <f t="shared" si="5"/>
        <v>42916.27</v>
      </c>
      <c r="R24" s="63">
        <f t="shared" si="6"/>
        <v>2.0607382732692801E-6</v>
      </c>
      <c r="S24" s="63">
        <v>1</v>
      </c>
      <c r="T24" s="63">
        <f t="shared" si="7"/>
        <v>2.0607382732692801E-6</v>
      </c>
      <c r="V24" s="63">
        <v>1800</v>
      </c>
      <c r="W24" s="63">
        <f t="shared" si="0"/>
        <v>10.283999999999999</v>
      </c>
      <c r="X24" s="52">
        <v>1800</v>
      </c>
      <c r="Y24">
        <f t="shared" ca="1" si="1"/>
        <v>12.241643014510288</v>
      </c>
    </row>
    <row r="25" spans="1:25" ht="15" x14ac:dyDescent="0.25">
      <c r="A25" t="s">
        <v>61</v>
      </c>
      <c r="B25" s="52" t="s">
        <v>62</v>
      </c>
      <c r="C25" s="8">
        <v>57935.817999999999</v>
      </c>
      <c r="D25" s="52">
        <v>3.0699999999999998E-4</v>
      </c>
      <c r="E25">
        <f t="shared" si="2"/>
        <v>-3.5566989147687034</v>
      </c>
      <c r="F25">
        <f t="shared" si="3"/>
        <v>-3.5</v>
      </c>
      <c r="G25">
        <f t="shared" si="8"/>
        <v>-1.6923436414799653E-2</v>
      </c>
      <c r="K25">
        <f t="shared" si="9"/>
        <v>-1.6923436414799653E-2</v>
      </c>
      <c r="O25">
        <f t="shared" ca="1" si="10"/>
        <v>-6.7235274052113089E-3</v>
      </c>
      <c r="P25" s="61">
        <f t="shared" si="4"/>
        <v>-1.6870599999999999E-2</v>
      </c>
      <c r="Q25" s="2">
        <f t="shared" si="5"/>
        <v>42917.317999999999</v>
      </c>
      <c r="R25" s="63">
        <f t="shared" si="6"/>
        <v>2.7916867288810443E-9</v>
      </c>
      <c r="S25" s="63">
        <v>1</v>
      </c>
      <c r="T25" s="63">
        <f t="shared" si="7"/>
        <v>2.7916867288810443E-9</v>
      </c>
      <c r="V25" s="63">
        <v>1900</v>
      </c>
      <c r="W25" s="63">
        <f t="shared" si="0"/>
        <v>11.311999999999999</v>
      </c>
      <c r="X25" s="3">
        <v>1900</v>
      </c>
      <c r="Y25">
        <f t="shared" ca="1" si="1"/>
        <v>12.920787264131331</v>
      </c>
    </row>
    <row r="26" spans="1:25" ht="15" x14ac:dyDescent="0.25">
      <c r="A26" t="s">
        <v>61</v>
      </c>
      <c r="B26" s="52" t="s">
        <v>62</v>
      </c>
      <c r="C26" s="8">
        <v>57936.718000000001</v>
      </c>
      <c r="D26" s="52">
        <v>2.7900000000000001E-4</v>
      </c>
      <c r="E26">
        <f t="shared" si="2"/>
        <v>-0.54141159064071664</v>
      </c>
      <c r="F26">
        <f t="shared" si="3"/>
        <v>-0.5</v>
      </c>
      <c r="G26">
        <f t="shared" si="8"/>
        <v>-1.2360490916762501E-2</v>
      </c>
      <c r="K26">
        <f t="shared" si="9"/>
        <v>-1.2360490916762501E-2</v>
      </c>
      <c r="O26">
        <f t="shared" ca="1" si="10"/>
        <v>1.3650800083419965E-2</v>
      </c>
      <c r="P26" s="61">
        <f t="shared" si="4"/>
        <v>-1.26994E-2</v>
      </c>
      <c r="Q26" s="2">
        <f t="shared" si="5"/>
        <v>42918.218000000001</v>
      </c>
      <c r="R26" s="63">
        <f t="shared" si="6"/>
        <v>1.1485936670088174E-7</v>
      </c>
      <c r="S26" s="63">
        <v>1</v>
      </c>
      <c r="T26" s="63">
        <f t="shared" si="7"/>
        <v>1.1485936670088174E-7</v>
      </c>
      <c r="V26" s="63">
        <v>2000</v>
      </c>
      <c r="W26" s="63">
        <f t="shared" si="0"/>
        <v>12.388</v>
      </c>
      <c r="X26" s="52">
        <v>2000</v>
      </c>
      <c r="Y26">
        <f t="shared" ca="1" si="1"/>
        <v>13.599931513752374</v>
      </c>
    </row>
    <row r="27" spans="1:25" ht="15" x14ac:dyDescent="0.25">
      <c r="A27" t="s">
        <v>61</v>
      </c>
      <c r="B27" s="52" t="s">
        <v>63</v>
      </c>
      <c r="C27" s="8">
        <v>57936.87</v>
      </c>
      <c r="D27" s="52">
        <v>1.8900000000000001E-4</v>
      </c>
      <c r="E27">
        <f t="shared" si="2"/>
        <v>-3.2163064782572928E-2</v>
      </c>
      <c r="F27">
        <f t="shared" si="3"/>
        <v>0</v>
      </c>
      <c r="G27">
        <f t="shared" si="8"/>
        <v>-9.5999999975902028E-3</v>
      </c>
      <c r="K27">
        <f t="shared" si="9"/>
        <v>-9.5999999975902028E-3</v>
      </c>
      <c r="O27">
        <f t="shared" ca="1" si="10"/>
        <v>1.7046521331525177E-2</v>
      </c>
      <c r="P27" s="61">
        <f t="shared" si="4"/>
        <v>-1.2E-2</v>
      </c>
      <c r="Q27" s="2">
        <f t="shared" si="5"/>
        <v>42918.37</v>
      </c>
      <c r="R27" s="63">
        <f t="shared" si="6"/>
        <v>5.7600000115670276E-6</v>
      </c>
      <c r="S27" s="63">
        <v>1</v>
      </c>
      <c r="T27" s="63">
        <f t="shared" si="7"/>
        <v>5.7600000115670276E-6</v>
      </c>
      <c r="V27" s="63">
        <v>2100</v>
      </c>
      <c r="W27" s="63">
        <f t="shared" si="0"/>
        <v>13.512</v>
      </c>
      <c r="X27" s="3">
        <v>2100</v>
      </c>
      <c r="Y27">
        <f t="shared" ca="1" si="1"/>
        <v>14.279075763373417</v>
      </c>
    </row>
    <row r="28" spans="1:25" ht="15" x14ac:dyDescent="0.25">
      <c r="A28" s="5" t="s">
        <v>60</v>
      </c>
      <c r="C28" s="8">
        <v>58609.910900000003</v>
      </c>
      <c r="D28" s="8">
        <v>5.0000000000000001E-4</v>
      </c>
      <c r="E28">
        <f t="shared" si="2"/>
        <v>2254.8697195867844</v>
      </c>
      <c r="F28">
        <f>ROUND(2*E28,0)/2-E$10</f>
        <v>2205</v>
      </c>
      <c r="G28">
        <f t="shared" si="8"/>
        <v>14.885064938600408</v>
      </c>
      <c r="K28">
        <f t="shared" si="9"/>
        <v>14.885064938600408</v>
      </c>
      <c r="O28">
        <f t="shared" ca="1" si="10"/>
        <v>14.992177225475512</v>
      </c>
      <c r="P28" s="61">
        <f t="shared" si="4"/>
        <v>14.743859999999998</v>
      </c>
      <c r="Q28" s="2">
        <f t="shared" si="5"/>
        <v>43591.410900000003</v>
      </c>
      <c r="R28" s="63">
        <f t="shared" si="6"/>
        <v>1.9938834685145543E-2</v>
      </c>
      <c r="S28" s="63">
        <v>1</v>
      </c>
      <c r="T28" s="63">
        <f t="shared" si="7"/>
        <v>1.9938834685145543E-2</v>
      </c>
      <c r="V28" s="63">
        <v>2200</v>
      </c>
      <c r="W28" s="63">
        <f t="shared" si="0"/>
        <v>14.683999999999999</v>
      </c>
      <c r="X28" s="52">
        <v>2200</v>
      </c>
      <c r="Y28">
        <f t="shared" ca="1" si="1"/>
        <v>14.95822001299446</v>
      </c>
    </row>
    <row r="29" spans="1:25" x14ac:dyDescent="0.2">
      <c r="A29" s="5" t="s">
        <v>60</v>
      </c>
      <c r="C29" s="8">
        <v>58611.920899999997</v>
      </c>
      <c r="D29" s="8">
        <v>4.0000000000000002E-4</v>
      </c>
      <c r="E29">
        <f t="shared" si="2"/>
        <v>2261.6038612773086</v>
      </c>
      <c r="F29">
        <f>ROUND(2*E29,0)/2-E$10-0.5</f>
        <v>2211</v>
      </c>
      <c r="G29">
        <f t="shared" si="8"/>
        <v>15.104190829581057</v>
      </c>
      <c r="K29">
        <f t="shared" si="9"/>
        <v>15.104190829581057</v>
      </c>
      <c r="O29">
        <f t="shared" ca="1" si="10"/>
        <v>15.032925880452773</v>
      </c>
      <c r="P29" s="61">
        <f t="shared" si="4"/>
        <v>14.815850399999999</v>
      </c>
      <c r="Q29" s="2">
        <f t="shared" si="5"/>
        <v>43593.420899999997</v>
      </c>
      <c r="R29" s="63">
        <f t="shared" si="6"/>
        <v>8.3140203330989385E-2</v>
      </c>
      <c r="S29" s="63">
        <v>1</v>
      </c>
      <c r="T29" s="63">
        <f t="shared" si="7"/>
        <v>8.3140203330989385E-2</v>
      </c>
      <c r="V29" s="63">
        <v>2300</v>
      </c>
      <c r="W29" s="63">
        <f t="shared" si="0"/>
        <v>15.904</v>
      </c>
      <c r="X29" s="3">
        <v>2300</v>
      </c>
      <c r="Y29">
        <f t="shared" ca="1" si="1"/>
        <v>15.637364262615502</v>
      </c>
    </row>
    <row r="30" spans="1:25" x14ac:dyDescent="0.2">
      <c r="A30" s="5" t="s">
        <v>60</v>
      </c>
      <c r="C30" s="76">
        <v>58613.869599999998</v>
      </c>
      <c r="D30" s="76">
        <v>2.0000000000000001E-4</v>
      </c>
      <c r="E30">
        <f>+(C30-C$7)/C$8</f>
        <v>2268.1326283978879</v>
      </c>
      <c r="F30">
        <f>ROUND(2*E30,0)/2-E$10-0.5</f>
        <v>2217.5</v>
      </c>
      <c r="G30">
        <f>+C30-(C$7+F30*C$8)</f>
        <v>15.112777211492357</v>
      </c>
      <c r="K30">
        <f>+G30</f>
        <v>15.112777211492357</v>
      </c>
      <c r="O30">
        <f ca="1">+C$11+C$12*$F30</f>
        <v>15.077070256678141</v>
      </c>
      <c r="P30" s="61">
        <f>+D$11+D$12*F30+D$13*F30^2</f>
        <v>14.894034999999999</v>
      </c>
      <c r="Q30" s="2">
        <f>+C30-15018.5</f>
        <v>43595.369599999998</v>
      </c>
      <c r="R30" s="63">
        <f>+(P30-G30)^2</f>
        <v>4.7848155088567698E-2</v>
      </c>
      <c r="S30" s="63">
        <v>1</v>
      </c>
      <c r="T30" s="63">
        <f>+S30*R30</f>
        <v>4.7848155088567698E-2</v>
      </c>
      <c r="V30" s="63">
        <v>2300</v>
      </c>
      <c r="W30" s="63">
        <f>+D$11+D$12*V30+D$13*V30^2</f>
        <v>15.904</v>
      </c>
      <c r="X30" s="3">
        <v>2300</v>
      </c>
      <c r="Y30">
        <f ca="1">C$11+X30*C$12</f>
        <v>15.637364262615502</v>
      </c>
    </row>
    <row r="31" spans="1:25" x14ac:dyDescent="0.2">
      <c r="C31" s="8"/>
      <c r="D31" s="8"/>
      <c r="Q31" s="2"/>
      <c r="V31" s="63"/>
      <c r="W31" s="63"/>
    </row>
    <row r="32" spans="1:25" ht="15" x14ac:dyDescent="0.25">
      <c r="C32" s="8"/>
      <c r="D32" s="8"/>
      <c r="Q32" s="2"/>
      <c r="V32" s="63"/>
      <c r="W32" s="63"/>
      <c r="X32" s="52"/>
    </row>
    <row r="33" spans="1:24" x14ac:dyDescent="0.2">
      <c r="C33" s="8"/>
      <c r="D33" s="8"/>
      <c r="V33" s="63"/>
      <c r="W33" s="63"/>
    </row>
    <row r="34" spans="1:24" ht="15" x14ac:dyDescent="0.25">
      <c r="A34" s="68"/>
      <c r="C34" s="8"/>
      <c r="D34" s="8"/>
      <c r="V34" s="63"/>
      <c r="W34" s="63"/>
      <c r="X34" s="52"/>
    </row>
    <row r="35" spans="1:24" x14ac:dyDescent="0.2">
      <c r="C35" s="8"/>
      <c r="D35" s="8"/>
      <c r="V35" s="63"/>
      <c r="W35" s="63"/>
    </row>
    <row r="36" spans="1:24" ht="15" x14ac:dyDescent="0.25">
      <c r="C36" s="8"/>
      <c r="D36" s="8"/>
      <c r="V36" s="63"/>
      <c r="W36" s="63"/>
      <c r="X36" s="52"/>
    </row>
    <row r="37" spans="1:24" x14ac:dyDescent="0.2">
      <c r="C37" s="8"/>
      <c r="D37" s="8"/>
      <c r="V37" s="63"/>
      <c r="W37" s="63"/>
    </row>
    <row r="38" spans="1:24" ht="15" x14ac:dyDescent="0.25">
      <c r="C38" s="8"/>
      <c r="D38" s="8"/>
      <c r="V38" s="63"/>
      <c r="W38" s="63"/>
      <c r="X38" s="52"/>
    </row>
    <row r="39" spans="1:24" x14ac:dyDescent="0.2">
      <c r="C39" s="8"/>
      <c r="D39" s="8"/>
      <c r="V39" s="63">
        <v>3300</v>
      </c>
      <c r="W39" s="63">
        <f>+D$11+D$12*V39+D$13*V39^2</f>
        <v>30.744</v>
      </c>
    </row>
    <row r="40" spans="1:24" ht="15" x14ac:dyDescent="0.25">
      <c r="C40" s="8"/>
      <c r="D40" s="8"/>
      <c r="X40" s="52"/>
    </row>
    <row r="41" spans="1:24" x14ac:dyDescent="0.2">
      <c r="C41" s="8"/>
      <c r="D41" s="8"/>
    </row>
    <row r="42" spans="1:24" ht="15" x14ac:dyDescent="0.25">
      <c r="C42" s="8"/>
      <c r="D42" s="8"/>
      <c r="X42" s="52"/>
    </row>
    <row r="43" spans="1:24" x14ac:dyDescent="0.2">
      <c r="C43" s="8"/>
      <c r="D43" s="8"/>
    </row>
    <row r="44" spans="1:24" ht="15" x14ac:dyDescent="0.25">
      <c r="C44" s="8"/>
      <c r="D44" s="8"/>
      <c r="X44" s="52"/>
    </row>
    <row r="45" spans="1:24" x14ac:dyDescent="0.2">
      <c r="C45" s="8"/>
      <c r="D45" s="8"/>
    </row>
    <row r="46" spans="1:24" x14ac:dyDescent="0.2">
      <c r="C46" s="8"/>
      <c r="D46" s="8"/>
    </row>
    <row r="47" spans="1:24" x14ac:dyDescent="0.2">
      <c r="C47" s="8"/>
      <c r="D47" s="8"/>
    </row>
    <row r="48" spans="1:2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41</v>
      </c>
      <c r="I1" s="31" t="s">
        <v>42</v>
      </c>
      <c r="J1" s="32" t="s">
        <v>40</v>
      </c>
    </row>
    <row r="2" spans="1:16" x14ac:dyDescent="0.2">
      <c r="I2" s="33" t="s">
        <v>43</v>
      </c>
      <c r="J2" s="34" t="s">
        <v>39</v>
      </c>
    </row>
    <row r="3" spans="1:16" x14ac:dyDescent="0.2">
      <c r="A3" s="35" t="s">
        <v>44</v>
      </c>
      <c r="I3" s="33" t="s">
        <v>45</v>
      </c>
      <c r="J3" s="34" t="s">
        <v>37</v>
      </c>
    </row>
    <row r="4" spans="1:16" x14ac:dyDescent="0.2">
      <c r="I4" s="33" t="s">
        <v>46</v>
      </c>
      <c r="J4" s="34" t="s">
        <v>37</v>
      </c>
    </row>
    <row r="5" spans="1:16" ht="13.5" thickBot="1" x14ac:dyDescent="0.25">
      <c r="I5" s="36" t="s">
        <v>47</v>
      </c>
      <c r="J5" s="37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8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39" t="s">
        <v>49</v>
      </c>
      <c r="J11" s="40" t="s">
        <v>50</v>
      </c>
      <c r="K11" s="39">
        <v>-3273</v>
      </c>
      <c r="L11" s="39" t="s">
        <v>51</v>
      </c>
      <c r="M11" s="40" t="s">
        <v>52</v>
      </c>
      <c r="N11" s="40"/>
      <c r="O11" s="41" t="s">
        <v>53</v>
      </c>
      <c r="P11" s="41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8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39"/>
      <c r="J12" s="40"/>
      <c r="K12" s="39"/>
      <c r="L12" s="39"/>
      <c r="M12" s="40"/>
      <c r="N12" s="40"/>
      <c r="O12" s="41"/>
      <c r="P12" s="41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8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39"/>
      <c r="J13" s="40"/>
      <c r="K13" s="39"/>
      <c r="L13" s="39"/>
      <c r="M13" s="40"/>
      <c r="N13" s="40"/>
      <c r="O13" s="41"/>
      <c r="P13" s="41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8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39"/>
      <c r="J14" s="40"/>
      <c r="K14" s="39"/>
      <c r="L14" s="39"/>
      <c r="M14" s="40"/>
      <c r="N14" s="40"/>
      <c r="O14" s="41"/>
      <c r="P14" s="41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8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39"/>
      <c r="J15" s="40"/>
      <c r="K15" s="39"/>
      <c r="L15" s="39"/>
      <c r="M15" s="40"/>
      <c r="N15" s="40"/>
      <c r="O15" s="41"/>
      <c r="P15" s="41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8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39"/>
      <c r="J16" s="40"/>
      <c r="K16" s="39"/>
      <c r="L16" s="39"/>
      <c r="M16" s="40"/>
      <c r="N16" s="40"/>
      <c r="O16" s="41"/>
      <c r="P16" s="41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8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39"/>
      <c r="J17" s="40"/>
      <c r="K17" s="39"/>
      <c r="L17" s="39"/>
      <c r="M17" s="40"/>
      <c r="N17" s="40"/>
      <c r="O17" s="41"/>
      <c r="P17" s="41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8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39"/>
      <c r="J18" s="40"/>
      <c r="K18" s="39"/>
      <c r="L18" s="39"/>
      <c r="M18" s="40"/>
      <c r="N18" s="40"/>
      <c r="O18" s="41"/>
      <c r="P18" s="41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8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39"/>
      <c r="J19" s="40"/>
      <c r="K19" s="39"/>
      <c r="L19" s="39"/>
      <c r="M19" s="40"/>
      <c r="N19" s="40"/>
      <c r="O19" s="41"/>
      <c r="P19" s="41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8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39"/>
      <c r="J20" s="40"/>
      <c r="K20" s="39"/>
      <c r="L20" s="39"/>
      <c r="M20" s="40"/>
      <c r="N20" s="40"/>
      <c r="O20" s="41"/>
      <c r="P20" s="41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8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39"/>
      <c r="J21" s="40"/>
      <c r="K21" s="39"/>
      <c r="L21" s="39"/>
      <c r="M21" s="40"/>
      <c r="N21" s="40"/>
      <c r="O21" s="41"/>
      <c r="P21" s="41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8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39"/>
      <c r="J22" s="40"/>
      <c r="K22" s="39"/>
      <c r="L22" s="39"/>
      <c r="M22" s="40"/>
      <c r="N22" s="40"/>
      <c r="O22" s="41"/>
      <c r="P22" s="41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8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39"/>
      <c r="J23" s="40"/>
      <c r="K23" s="39"/>
      <c r="L23" s="39"/>
      <c r="M23" s="40"/>
      <c r="N23" s="40"/>
      <c r="O23" s="41"/>
      <c r="P23" s="41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8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39"/>
      <c r="J24" s="40"/>
      <c r="K24" s="39"/>
      <c r="L24" s="39"/>
      <c r="M24" s="40"/>
      <c r="N24" s="40"/>
      <c r="O24" s="41"/>
      <c r="P24" s="41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8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39"/>
      <c r="J25" s="40"/>
      <c r="K25" s="39"/>
      <c r="L25" s="39"/>
      <c r="M25" s="40"/>
      <c r="N25" s="40"/>
      <c r="O25" s="41"/>
      <c r="P25" s="41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8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39"/>
      <c r="J26" s="40"/>
      <c r="K26" s="39"/>
      <c r="L26" s="39"/>
      <c r="M26" s="40"/>
      <c r="N26" s="40"/>
      <c r="O26" s="41"/>
      <c r="P26" s="41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8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39"/>
      <c r="J27" s="40"/>
      <c r="K27" s="39"/>
      <c r="L27" s="39"/>
      <c r="M27" s="40"/>
      <c r="N27" s="40"/>
      <c r="O27" s="41"/>
      <c r="P27" s="41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8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39"/>
      <c r="J28" s="40"/>
      <c r="K28" s="39"/>
      <c r="L28" s="39"/>
      <c r="M28" s="40"/>
      <c r="N28" s="40"/>
      <c r="O28" s="41"/>
      <c r="P28" s="41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8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39"/>
      <c r="J29" s="40"/>
      <c r="K29" s="39"/>
      <c r="L29" s="39"/>
      <c r="M29" s="40"/>
      <c r="N29" s="40"/>
      <c r="O29" s="41"/>
      <c r="P29" s="41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8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39"/>
      <c r="J30" s="40"/>
      <c r="K30" s="39"/>
      <c r="L30" s="39"/>
      <c r="M30" s="40"/>
      <c r="N30" s="40"/>
      <c r="O30" s="41"/>
      <c r="P30" s="41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8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39"/>
      <c r="J31" s="40"/>
      <c r="K31" s="39"/>
      <c r="L31" s="39"/>
      <c r="M31" s="40"/>
      <c r="N31" s="40"/>
      <c r="O31" s="41"/>
      <c r="P31" s="41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8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39"/>
      <c r="J32" s="40"/>
      <c r="K32" s="39"/>
      <c r="L32" s="39"/>
      <c r="M32" s="40"/>
      <c r="N32" s="40"/>
      <c r="O32" s="41"/>
      <c r="P32" s="41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8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39"/>
      <c r="J33" s="40"/>
      <c r="K33" s="39"/>
      <c r="L33" s="39"/>
      <c r="M33" s="40"/>
      <c r="N33" s="40"/>
      <c r="O33" s="41"/>
      <c r="P33" s="41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8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39"/>
      <c r="J34" s="40"/>
      <c r="K34" s="39"/>
      <c r="L34" s="39"/>
      <c r="M34" s="40"/>
      <c r="N34" s="40"/>
      <c r="O34" s="41"/>
      <c r="P34" s="41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8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39"/>
      <c r="J35" s="40"/>
      <c r="K35" s="39"/>
      <c r="L35" s="39"/>
      <c r="M35" s="40"/>
      <c r="N35" s="40"/>
      <c r="O35" s="41"/>
      <c r="P35" s="41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8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39"/>
      <c r="J36" s="40"/>
      <c r="K36" s="39"/>
      <c r="L36" s="39"/>
      <c r="M36" s="40"/>
      <c r="N36" s="40"/>
      <c r="O36" s="41"/>
      <c r="P36" s="41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8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39"/>
      <c r="J37" s="40"/>
      <c r="K37" s="39"/>
      <c r="L37" s="39"/>
      <c r="M37" s="40"/>
      <c r="N37" s="40"/>
      <c r="O37" s="41"/>
      <c r="P37" s="41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8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39"/>
      <c r="J38" s="40"/>
      <c r="K38" s="39"/>
      <c r="L38" s="39"/>
      <c r="M38" s="40"/>
      <c r="N38" s="40"/>
      <c r="O38" s="41"/>
      <c r="P38" s="41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8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39"/>
      <c r="J39" s="40"/>
      <c r="K39" s="39"/>
      <c r="L39" s="39"/>
      <c r="M39" s="40"/>
      <c r="N39" s="40"/>
      <c r="O39" s="41"/>
      <c r="P39" s="41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8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39"/>
      <c r="J40" s="40"/>
      <c r="K40" s="39"/>
      <c r="L40" s="39"/>
      <c r="M40" s="40"/>
      <c r="N40" s="40"/>
      <c r="O40" s="41"/>
      <c r="P40" s="41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8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39"/>
      <c r="J41" s="40"/>
      <c r="K41" s="39"/>
      <c r="L41" s="39"/>
      <c r="M41" s="40"/>
      <c r="N41" s="40"/>
      <c r="O41" s="41"/>
      <c r="P41" s="41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8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39"/>
      <c r="J42" s="40"/>
      <c r="K42" s="39"/>
      <c r="L42" s="39"/>
      <c r="M42" s="40"/>
      <c r="N42" s="40"/>
      <c r="O42" s="41"/>
      <c r="P42" s="41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8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39"/>
      <c r="J43" s="40"/>
      <c r="K43" s="39"/>
      <c r="L43" s="39"/>
      <c r="M43" s="40"/>
      <c r="N43" s="40"/>
      <c r="O43" s="41"/>
      <c r="P43" s="41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8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39"/>
      <c r="J44" s="40"/>
      <c r="K44" s="39"/>
      <c r="L44" s="39"/>
      <c r="M44" s="40"/>
      <c r="N44" s="40"/>
      <c r="O44" s="41"/>
      <c r="P44" s="41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8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39"/>
      <c r="J45" s="40"/>
      <c r="K45" s="39"/>
      <c r="L45" s="39"/>
      <c r="M45" s="40"/>
      <c r="N45" s="40"/>
      <c r="O45" s="41"/>
      <c r="P45" s="41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8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39"/>
      <c r="J46" s="40"/>
      <c r="K46" s="39"/>
      <c r="L46" s="39"/>
      <c r="M46" s="40"/>
      <c r="N46" s="40"/>
      <c r="O46" s="41"/>
      <c r="P46" s="41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8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39"/>
      <c r="J47" s="40"/>
      <c r="K47" s="39"/>
      <c r="L47" s="39"/>
      <c r="M47" s="40"/>
      <c r="N47" s="40"/>
      <c r="O47" s="41"/>
      <c r="P47" s="41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8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39"/>
      <c r="J48" s="40"/>
      <c r="K48" s="39"/>
      <c r="L48" s="39"/>
      <c r="M48" s="40"/>
      <c r="N48" s="40"/>
      <c r="O48" s="41"/>
      <c r="P48" s="41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8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39"/>
      <c r="J49" s="40"/>
      <c r="K49" s="39"/>
      <c r="L49" s="39"/>
      <c r="M49" s="40"/>
      <c r="N49" s="40"/>
      <c r="O49" s="41"/>
      <c r="P49" s="41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8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39"/>
      <c r="J50" s="40"/>
      <c r="K50" s="39"/>
      <c r="L50" s="39"/>
      <c r="M50" s="40"/>
      <c r="N50" s="40"/>
      <c r="O50" s="41"/>
      <c r="P50" s="41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8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39"/>
      <c r="J51" s="40"/>
      <c r="K51" s="39"/>
      <c r="L51" s="39"/>
      <c r="M51" s="40"/>
      <c r="N51" s="40"/>
      <c r="O51" s="41"/>
      <c r="P51" s="41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8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39"/>
      <c r="J52" s="40"/>
      <c r="K52" s="39"/>
      <c r="L52" s="39"/>
      <c r="M52" s="40"/>
      <c r="N52" s="40"/>
      <c r="O52" s="41"/>
      <c r="P52" s="41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8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39"/>
      <c r="J53" s="40"/>
      <c r="K53" s="39"/>
      <c r="L53" s="39"/>
      <c r="M53" s="40"/>
      <c r="N53" s="40"/>
      <c r="O53" s="41"/>
      <c r="P53" s="41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8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39"/>
      <c r="J54" s="40"/>
      <c r="K54" s="39"/>
      <c r="L54" s="39"/>
      <c r="M54" s="40"/>
      <c r="N54" s="40"/>
      <c r="O54" s="41"/>
      <c r="P54" s="41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8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39"/>
      <c r="J55" s="40"/>
      <c r="K55" s="39"/>
      <c r="L55" s="39"/>
      <c r="M55" s="40"/>
      <c r="N55" s="40"/>
      <c r="O55" s="41"/>
      <c r="P55" s="41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8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39"/>
      <c r="J56" s="40"/>
      <c r="K56" s="39"/>
      <c r="L56" s="39"/>
      <c r="M56" s="40"/>
      <c r="N56" s="40"/>
      <c r="O56" s="41"/>
      <c r="P56" s="41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8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39"/>
      <c r="J57" s="40"/>
      <c r="K57" s="39"/>
      <c r="L57" s="39"/>
      <c r="M57" s="40"/>
      <c r="N57" s="40"/>
      <c r="O57" s="41"/>
      <c r="P57" s="41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8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39"/>
      <c r="J58" s="40"/>
      <c r="K58" s="39"/>
      <c r="L58" s="39"/>
      <c r="M58" s="40"/>
      <c r="N58" s="40"/>
      <c r="O58" s="41"/>
      <c r="P58" s="41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8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39"/>
      <c r="J59" s="40"/>
      <c r="K59" s="39"/>
      <c r="L59" s="39"/>
      <c r="M59" s="40"/>
      <c r="N59" s="40"/>
      <c r="O59" s="41"/>
      <c r="P59" s="41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8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39"/>
      <c r="J60" s="40"/>
      <c r="K60" s="39"/>
      <c r="L60" s="39"/>
      <c r="M60" s="40"/>
      <c r="N60" s="40"/>
      <c r="O60" s="41"/>
      <c r="P60" s="41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8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39"/>
      <c r="J61" s="40"/>
      <c r="K61" s="39"/>
      <c r="L61" s="39"/>
      <c r="M61" s="40"/>
      <c r="N61" s="40"/>
      <c r="O61" s="41"/>
      <c r="P61" s="41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8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39"/>
      <c r="J62" s="40"/>
      <c r="K62" s="39"/>
      <c r="L62" s="39"/>
      <c r="M62" s="40"/>
      <c r="N62" s="40"/>
      <c r="O62" s="41"/>
      <c r="P62" s="41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8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39"/>
      <c r="J63" s="40"/>
      <c r="K63" s="39"/>
      <c r="L63" s="39"/>
      <c r="M63" s="40"/>
      <c r="N63" s="40"/>
      <c r="O63" s="41"/>
      <c r="P63" s="41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8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39"/>
      <c r="J64" s="40"/>
      <c r="K64" s="39"/>
      <c r="L64" s="39"/>
      <c r="M64" s="40"/>
      <c r="N64" s="40"/>
      <c r="O64" s="41"/>
      <c r="P64" s="41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8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39"/>
      <c r="J65" s="40"/>
      <c r="K65" s="39"/>
      <c r="L65" s="39"/>
      <c r="M65" s="40"/>
      <c r="N65" s="40"/>
      <c r="O65" s="41"/>
      <c r="P65" s="41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8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39"/>
      <c r="J66" s="40"/>
      <c r="K66" s="39"/>
      <c r="L66" s="39"/>
      <c r="M66" s="40"/>
      <c r="N66" s="40"/>
      <c r="O66" s="41"/>
      <c r="P66" s="41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8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39"/>
      <c r="J67" s="40"/>
      <c r="K67" s="39"/>
      <c r="L67" s="39"/>
      <c r="M67" s="40"/>
      <c r="N67" s="40"/>
      <c r="O67" s="41"/>
      <c r="P67" s="41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8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39"/>
      <c r="J68" s="40"/>
      <c r="K68" s="39"/>
      <c r="L68" s="39"/>
      <c r="M68" s="40"/>
      <c r="N68" s="40"/>
      <c r="O68" s="41"/>
      <c r="P68" s="41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8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39"/>
      <c r="J69" s="40"/>
      <c r="K69" s="39"/>
      <c r="L69" s="39"/>
      <c r="M69" s="40"/>
      <c r="N69" s="40"/>
      <c r="O69" s="41"/>
      <c r="P69" s="41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8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39"/>
      <c r="J70" s="40"/>
      <c r="K70" s="39"/>
      <c r="L70" s="39"/>
      <c r="M70" s="40"/>
      <c r="N70" s="40"/>
      <c r="O70" s="41"/>
      <c r="P70" s="41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8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39"/>
      <c r="J71" s="40"/>
      <c r="K71" s="39"/>
      <c r="L71" s="39"/>
      <c r="M71" s="40"/>
      <c r="N71" s="40"/>
      <c r="O71" s="41"/>
      <c r="P71" s="41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8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39"/>
      <c r="J72" s="40"/>
      <c r="K72" s="39"/>
      <c r="L72" s="39"/>
      <c r="M72" s="40"/>
      <c r="N72" s="40"/>
      <c r="O72" s="41"/>
      <c r="P72" s="41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8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39"/>
      <c r="J73" s="40"/>
      <c r="K73" s="39"/>
      <c r="L73" s="39"/>
      <c r="M73" s="40"/>
      <c r="N73" s="40"/>
      <c r="O73" s="41"/>
      <c r="P73" s="41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8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39"/>
      <c r="J74" s="40"/>
      <c r="K74" s="39"/>
      <c r="L74" s="39"/>
      <c r="M74" s="40"/>
      <c r="N74" s="40"/>
      <c r="O74" s="41"/>
      <c r="P74" s="41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8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39"/>
      <c r="J75" s="40"/>
      <c r="K75" s="39"/>
      <c r="L75" s="39"/>
      <c r="M75" s="40"/>
      <c r="N75" s="40"/>
      <c r="O75" s="41"/>
      <c r="P75" s="41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8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39"/>
      <c r="J76" s="40"/>
      <c r="K76" s="39"/>
      <c r="L76" s="39"/>
      <c r="M76" s="40"/>
      <c r="N76" s="40"/>
      <c r="O76" s="41"/>
      <c r="P76" s="41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8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39"/>
      <c r="J77" s="40"/>
      <c r="K77" s="39"/>
      <c r="L77" s="39"/>
      <c r="M77" s="40"/>
      <c r="N77" s="40"/>
      <c r="O77" s="41"/>
      <c r="P77" s="41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8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39"/>
      <c r="J78" s="40"/>
      <c r="K78" s="39"/>
      <c r="L78" s="39"/>
      <c r="M78" s="40"/>
      <c r="N78" s="40"/>
      <c r="O78" s="41"/>
      <c r="P78" s="41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8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39"/>
      <c r="J79" s="40"/>
      <c r="K79" s="39"/>
      <c r="L79" s="39"/>
      <c r="M79" s="40"/>
      <c r="N79" s="40"/>
      <c r="O79" s="41"/>
      <c r="P79" s="41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8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39"/>
      <c r="J80" s="40"/>
      <c r="K80" s="39"/>
      <c r="L80" s="39"/>
      <c r="M80" s="40"/>
      <c r="N80" s="40"/>
      <c r="O80" s="41"/>
      <c r="P80" s="41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8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39"/>
      <c r="J81" s="40"/>
      <c r="K81" s="39"/>
      <c r="L81" s="39"/>
      <c r="M81" s="40"/>
      <c r="N81" s="40"/>
      <c r="O81" s="41"/>
      <c r="P81" s="41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8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39"/>
      <c r="J82" s="40"/>
      <c r="K82" s="39"/>
      <c r="L82" s="39"/>
      <c r="M82" s="40"/>
      <c r="N82" s="40"/>
      <c r="O82" s="41"/>
      <c r="P82" s="41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8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39"/>
      <c r="J83" s="40"/>
      <c r="K83" s="39"/>
      <c r="L83" s="39"/>
      <c r="M83" s="40"/>
      <c r="N83" s="40"/>
      <c r="O83" s="41"/>
      <c r="P83" s="41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8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39"/>
      <c r="J84" s="40"/>
      <c r="K84" s="39"/>
      <c r="L84" s="39"/>
      <c r="M84" s="40"/>
      <c r="N84" s="40"/>
      <c r="O84" s="41"/>
      <c r="P84" s="41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8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39"/>
      <c r="J85" s="40"/>
      <c r="K85" s="39"/>
      <c r="L85" s="39"/>
      <c r="M85" s="40"/>
      <c r="N85" s="40"/>
      <c r="O85" s="41"/>
      <c r="P85" s="41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8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39"/>
      <c r="J86" s="40"/>
      <c r="K86" s="39"/>
      <c r="L86" s="39"/>
      <c r="M86" s="40"/>
      <c r="N86" s="40"/>
      <c r="O86" s="41"/>
      <c r="P86" s="41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8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39"/>
      <c r="J87" s="40"/>
      <c r="K87" s="39"/>
      <c r="L87" s="39"/>
      <c r="M87" s="40"/>
      <c r="N87" s="40"/>
      <c r="O87" s="41"/>
      <c r="P87" s="41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8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39"/>
      <c r="J88" s="40"/>
      <c r="K88" s="39"/>
      <c r="L88" s="39"/>
      <c r="M88" s="40"/>
      <c r="N88" s="40"/>
      <c r="O88" s="41"/>
      <c r="P88" s="41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8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39"/>
      <c r="J89" s="40"/>
      <c r="K89" s="39"/>
      <c r="L89" s="39"/>
      <c r="M89" s="40"/>
      <c r="N89" s="40"/>
      <c r="O89" s="41"/>
      <c r="P89" s="41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8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39"/>
      <c r="J90" s="40"/>
      <c r="K90" s="39"/>
      <c r="L90" s="39"/>
      <c r="M90" s="40"/>
      <c r="N90" s="40"/>
      <c r="O90" s="41"/>
      <c r="P90" s="41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8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39"/>
      <c r="J91" s="40"/>
      <c r="K91" s="39"/>
      <c r="L91" s="39"/>
      <c r="M91" s="40"/>
      <c r="N91" s="40"/>
      <c r="O91" s="41"/>
      <c r="P91" s="41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8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39"/>
      <c r="J92" s="40"/>
      <c r="K92" s="39"/>
      <c r="L92" s="39"/>
      <c r="M92" s="40"/>
      <c r="N92" s="40"/>
      <c r="O92" s="41"/>
      <c r="P92" s="41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8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39"/>
      <c r="J93" s="40"/>
      <c r="K93" s="39"/>
      <c r="L93" s="39"/>
      <c r="M93" s="40"/>
      <c r="N93" s="40"/>
      <c r="O93" s="41"/>
      <c r="P93" s="41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8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39"/>
      <c r="J94" s="40"/>
      <c r="K94" s="39"/>
      <c r="L94" s="39"/>
      <c r="M94" s="40"/>
      <c r="N94" s="40"/>
      <c r="O94" s="41"/>
      <c r="P94" s="41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8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39"/>
      <c r="J95" s="40"/>
      <c r="K95" s="39"/>
      <c r="L95" s="39"/>
      <c r="M95" s="40"/>
      <c r="N95" s="40"/>
      <c r="O95" s="41"/>
      <c r="P95" s="41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8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39"/>
      <c r="J96" s="40"/>
      <c r="K96" s="39"/>
      <c r="L96" s="39"/>
      <c r="M96" s="40"/>
      <c r="N96" s="40"/>
      <c r="O96" s="41"/>
      <c r="P96" s="41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8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39"/>
      <c r="J97" s="40"/>
      <c r="K97" s="39"/>
      <c r="L97" s="39"/>
      <c r="M97" s="40"/>
      <c r="N97" s="40"/>
      <c r="O97" s="41"/>
      <c r="P97" s="41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8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39"/>
      <c r="J98" s="40"/>
      <c r="K98" s="39"/>
      <c r="L98" s="39"/>
      <c r="M98" s="40"/>
      <c r="N98" s="40"/>
      <c r="O98" s="41"/>
      <c r="P98" s="41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8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39"/>
      <c r="J99" s="40"/>
      <c r="K99" s="39"/>
      <c r="L99" s="39"/>
      <c r="M99" s="40"/>
      <c r="N99" s="40"/>
      <c r="O99" s="41"/>
      <c r="P99" s="41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8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39"/>
      <c r="J100" s="40"/>
      <c r="K100" s="39"/>
      <c r="L100" s="39"/>
      <c r="M100" s="40"/>
      <c r="N100" s="40"/>
      <c r="O100" s="41"/>
      <c r="P100" s="41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8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39"/>
      <c r="J101" s="40"/>
      <c r="K101" s="39"/>
      <c r="L101" s="39"/>
      <c r="M101" s="40"/>
      <c r="N101" s="40"/>
      <c r="O101" s="41"/>
      <c r="P101" s="41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8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39"/>
      <c r="J102" s="40"/>
      <c r="K102" s="39"/>
      <c r="L102" s="39"/>
      <c r="M102" s="40"/>
      <c r="N102" s="40"/>
      <c r="O102" s="41"/>
      <c r="P102" s="41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8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39"/>
      <c r="J103" s="40"/>
      <c r="K103" s="39"/>
      <c r="L103" s="39"/>
      <c r="M103" s="40"/>
      <c r="N103" s="40"/>
      <c r="O103" s="41"/>
      <c r="P103" s="41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8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39"/>
      <c r="J104" s="40"/>
      <c r="K104" s="39"/>
      <c r="L104" s="39"/>
      <c r="M104" s="40"/>
      <c r="N104" s="40"/>
      <c r="O104" s="41"/>
      <c r="P104" s="41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8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39"/>
      <c r="J105" s="40"/>
      <c r="K105" s="39"/>
      <c r="L105" s="39"/>
      <c r="M105" s="40"/>
      <c r="N105" s="40"/>
      <c r="O105" s="41"/>
      <c r="P105" s="41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8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39"/>
      <c r="J106" s="40"/>
      <c r="K106" s="39"/>
      <c r="L106" s="39"/>
      <c r="M106" s="40"/>
      <c r="N106" s="40"/>
      <c r="O106" s="41"/>
      <c r="P106" s="41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8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39"/>
      <c r="J107" s="40"/>
      <c r="K107" s="39"/>
      <c r="L107" s="39"/>
      <c r="M107" s="40"/>
      <c r="N107" s="40"/>
      <c r="O107" s="41"/>
      <c r="P107" s="41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8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39"/>
      <c r="J108" s="40"/>
      <c r="K108" s="39"/>
      <c r="L108" s="39"/>
      <c r="M108" s="40"/>
      <c r="N108" s="40"/>
      <c r="O108" s="41"/>
      <c r="P108" s="41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8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39"/>
      <c r="J109" s="40"/>
      <c r="K109" s="39"/>
      <c r="L109" s="39"/>
      <c r="M109" s="40"/>
      <c r="N109" s="40"/>
      <c r="O109" s="41"/>
      <c r="P109" s="41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8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39"/>
      <c r="J110" s="40"/>
      <c r="K110" s="39"/>
      <c r="L110" s="39"/>
      <c r="M110" s="40"/>
      <c r="N110" s="40"/>
      <c r="O110" s="41"/>
      <c r="P110" s="41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8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39"/>
      <c r="J111" s="40"/>
      <c r="K111" s="39"/>
      <c r="L111" s="39"/>
      <c r="M111" s="40"/>
      <c r="N111" s="40"/>
      <c r="O111" s="41"/>
      <c r="P111" s="41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8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39"/>
      <c r="J112" s="40"/>
      <c r="K112" s="39"/>
      <c r="L112" s="39"/>
      <c r="M112" s="40"/>
      <c r="N112" s="40"/>
      <c r="O112" s="41"/>
      <c r="P112" s="41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8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39"/>
      <c r="J113" s="40"/>
      <c r="K113" s="39"/>
      <c r="L113" s="39"/>
      <c r="M113" s="40"/>
      <c r="N113" s="40"/>
      <c r="O113" s="41"/>
      <c r="P113" s="41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8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39"/>
      <c r="J114" s="40"/>
      <c r="K114" s="39"/>
      <c r="L114" s="39"/>
      <c r="M114" s="40"/>
      <c r="N114" s="40"/>
      <c r="O114" s="41"/>
      <c r="P114" s="41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8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39"/>
      <c r="J115" s="40"/>
      <c r="K115" s="39"/>
      <c r="L115" s="39"/>
      <c r="M115" s="40"/>
      <c r="N115" s="40"/>
      <c r="O115" s="41"/>
      <c r="P115" s="41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8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39"/>
      <c r="J116" s="40"/>
      <c r="K116" s="39"/>
      <c r="L116" s="39"/>
      <c r="M116" s="40"/>
      <c r="N116" s="40"/>
      <c r="O116" s="41"/>
      <c r="P116" s="41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8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39"/>
      <c r="J117" s="40"/>
      <c r="K117" s="39"/>
      <c r="L117" s="39"/>
      <c r="M117" s="40"/>
      <c r="N117" s="40"/>
      <c r="O117" s="41"/>
      <c r="P117" s="41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8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39"/>
      <c r="J118" s="40"/>
      <c r="K118" s="39"/>
      <c r="L118" s="39"/>
      <c r="M118" s="40"/>
      <c r="N118" s="40"/>
      <c r="O118" s="41"/>
      <c r="P118" s="41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8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39"/>
      <c r="J119" s="40"/>
      <c r="K119" s="39"/>
      <c r="L119" s="39"/>
      <c r="M119" s="40"/>
      <c r="N119" s="40"/>
      <c r="O119" s="41"/>
      <c r="P119" s="41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8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39"/>
      <c r="J120" s="40"/>
      <c r="K120" s="39"/>
      <c r="L120" s="39"/>
      <c r="M120" s="40"/>
      <c r="N120" s="40"/>
      <c r="O120" s="41"/>
      <c r="P120" s="41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8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39"/>
      <c r="J121" s="40"/>
      <c r="K121" s="39"/>
      <c r="L121" s="39"/>
      <c r="M121" s="40"/>
      <c r="N121" s="40"/>
      <c r="O121" s="41"/>
      <c r="P121" s="41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8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39"/>
      <c r="J122" s="40"/>
      <c r="K122" s="39"/>
      <c r="L122" s="39"/>
      <c r="M122" s="40"/>
      <c r="N122" s="40"/>
      <c r="O122" s="41"/>
      <c r="P122" s="41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8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39"/>
      <c r="J123" s="40"/>
      <c r="K123" s="39"/>
      <c r="L123" s="39"/>
      <c r="M123" s="40"/>
      <c r="N123" s="40"/>
      <c r="O123" s="41"/>
      <c r="P123" s="41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8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39"/>
      <c r="J124" s="40"/>
      <c r="K124" s="39"/>
      <c r="L124" s="39"/>
      <c r="M124" s="40"/>
      <c r="N124" s="40"/>
      <c r="O124" s="41"/>
      <c r="P124" s="41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8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39"/>
      <c r="J125" s="40"/>
      <c r="K125" s="39"/>
      <c r="L125" s="39"/>
      <c r="M125" s="40"/>
      <c r="N125" s="40"/>
      <c r="O125" s="41"/>
      <c r="P125" s="41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8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39"/>
      <c r="J126" s="40"/>
      <c r="K126" s="39"/>
      <c r="L126" s="39"/>
      <c r="M126" s="40"/>
      <c r="N126" s="40"/>
      <c r="O126" s="41"/>
      <c r="P126" s="41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8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39"/>
      <c r="J127" s="40"/>
      <c r="K127" s="39"/>
      <c r="L127" s="39"/>
      <c r="M127" s="40"/>
      <c r="N127" s="40"/>
      <c r="O127" s="41"/>
      <c r="P127" s="41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8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39"/>
      <c r="J128" s="40"/>
      <c r="K128" s="39"/>
      <c r="L128" s="39"/>
      <c r="M128" s="40"/>
      <c r="N128" s="40"/>
      <c r="O128" s="41"/>
      <c r="P128" s="41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8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39"/>
      <c r="J129" s="40"/>
      <c r="K129" s="39"/>
      <c r="L129" s="39"/>
      <c r="M129" s="40"/>
      <c r="N129" s="40"/>
      <c r="O129" s="41"/>
      <c r="P129" s="41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8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39"/>
      <c r="J130" s="40"/>
      <c r="K130" s="39"/>
      <c r="L130" s="39"/>
      <c r="M130" s="40"/>
      <c r="N130" s="40"/>
      <c r="O130" s="41"/>
      <c r="P130" s="41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8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39"/>
      <c r="J131" s="40"/>
      <c r="K131" s="39"/>
      <c r="L131" s="39"/>
      <c r="M131" s="40"/>
      <c r="N131" s="40"/>
      <c r="O131" s="41"/>
      <c r="P131" s="41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8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39"/>
      <c r="J132" s="40"/>
      <c r="K132" s="39"/>
      <c r="L132" s="39"/>
      <c r="M132" s="40"/>
      <c r="N132" s="40"/>
      <c r="O132" s="41"/>
      <c r="P132" s="41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8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39"/>
      <c r="J133" s="40"/>
      <c r="K133" s="39"/>
      <c r="L133" s="39"/>
      <c r="M133" s="40"/>
      <c r="N133" s="40"/>
      <c r="O133" s="41"/>
      <c r="P133" s="41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8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39"/>
      <c r="J134" s="40"/>
      <c r="K134" s="39"/>
      <c r="L134" s="39"/>
      <c r="M134" s="40"/>
      <c r="N134" s="40"/>
      <c r="O134" s="41"/>
      <c r="P134" s="41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8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39"/>
      <c r="J135" s="40"/>
      <c r="K135" s="39"/>
      <c r="L135" s="39"/>
      <c r="M135" s="40"/>
      <c r="N135" s="40"/>
      <c r="O135" s="41"/>
      <c r="P135" s="41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8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39"/>
      <c r="J136" s="40"/>
      <c r="K136" s="39"/>
      <c r="L136" s="39"/>
      <c r="M136" s="40"/>
      <c r="N136" s="40"/>
      <c r="O136" s="41"/>
      <c r="P136" s="41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8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39"/>
      <c r="J137" s="40"/>
      <c r="K137" s="39"/>
      <c r="L137" s="39"/>
      <c r="M137" s="40"/>
      <c r="N137" s="40"/>
      <c r="O137" s="41"/>
      <c r="P137" s="41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8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39"/>
      <c r="J138" s="40"/>
      <c r="K138" s="39"/>
      <c r="L138" s="39"/>
      <c r="M138" s="40"/>
      <c r="N138" s="40"/>
      <c r="O138" s="41"/>
      <c r="P138" s="41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8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39"/>
      <c r="J139" s="40"/>
      <c r="K139" s="39"/>
      <c r="L139" s="39"/>
      <c r="M139" s="40"/>
      <c r="N139" s="40"/>
      <c r="O139" s="41"/>
      <c r="P139" s="41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8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39"/>
      <c r="J140" s="40"/>
      <c r="K140" s="39"/>
      <c r="L140" s="39"/>
      <c r="M140" s="40"/>
      <c r="N140" s="40"/>
      <c r="O140" s="41"/>
      <c r="P140" s="41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8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39"/>
      <c r="J141" s="40"/>
      <c r="K141" s="39"/>
      <c r="L141" s="39"/>
      <c r="M141" s="40"/>
      <c r="N141" s="40"/>
      <c r="O141" s="41"/>
      <c r="P141" s="41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8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39"/>
      <c r="J142" s="40"/>
      <c r="K142" s="39"/>
      <c r="L142" s="39"/>
      <c r="M142" s="40"/>
      <c r="N142" s="40"/>
      <c r="O142" s="41"/>
      <c r="P142" s="41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8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39"/>
      <c r="J143" s="40"/>
      <c r="K143" s="39"/>
      <c r="L143" s="39"/>
      <c r="M143" s="40"/>
      <c r="N143" s="40"/>
      <c r="O143" s="41"/>
      <c r="P143" s="41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8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39"/>
      <c r="J144" s="40"/>
      <c r="K144" s="39"/>
      <c r="L144" s="39"/>
      <c r="M144" s="40"/>
      <c r="N144" s="40"/>
      <c r="O144" s="41"/>
      <c r="P144" s="41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8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39"/>
      <c r="J145" s="40"/>
      <c r="K145" s="39"/>
      <c r="L145" s="39"/>
      <c r="M145" s="40"/>
      <c r="N145" s="40"/>
      <c r="O145" s="41"/>
      <c r="P145" s="42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8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39"/>
      <c r="J146" s="40"/>
      <c r="K146" s="39"/>
      <c r="L146" s="39"/>
      <c r="M146" s="40"/>
      <c r="N146" s="40"/>
      <c r="O146" s="41"/>
      <c r="P146" s="41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8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39"/>
      <c r="J147" s="40"/>
      <c r="K147" s="39"/>
      <c r="L147" s="39"/>
      <c r="M147" s="40"/>
      <c r="N147" s="40"/>
      <c r="O147" s="41"/>
      <c r="P147" s="42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8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39"/>
      <c r="J148" s="40"/>
      <c r="K148" s="39"/>
      <c r="L148" s="39"/>
      <c r="M148" s="40"/>
      <c r="N148" s="40"/>
      <c r="O148" s="41"/>
      <c r="P148" s="41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8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39"/>
      <c r="J149" s="40"/>
      <c r="K149" s="39"/>
      <c r="L149" s="39"/>
      <c r="M149" s="40"/>
      <c r="N149" s="40"/>
      <c r="O149" s="41"/>
      <c r="P149" s="41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8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39"/>
      <c r="J150" s="40"/>
      <c r="K150" s="39"/>
      <c r="L150" s="39"/>
      <c r="M150" s="40"/>
      <c r="N150" s="40"/>
      <c r="O150" s="41"/>
      <c r="P150" s="41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8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39"/>
      <c r="J151" s="40"/>
      <c r="K151" s="39"/>
      <c r="L151" s="39"/>
      <c r="M151" s="40"/>
      <c r="N151" s="40"/>
      <c r="O151" s="41"/>
      <c r="P151" s="41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8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39"/>
      <c r="J152" s="40"/>
      <c r="K152" s="39"/>
      <c r="L152" s="39"/>
      <c r="M152" s="40"/>
      <c r="N152" s="40"/>
      <c r="O152" s="41"/>
      <c r="P152" s="41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8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39"/>
      <c r="J153" s="40"/>
      <c r="K153" s="39"/>
      <c r="L153" s="39"/>
      <c r="M153" s="40"/>
      <c r="N153" s="40"/>
      <c r="O153" s="41"/>
      <c r="P153" s="41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8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39"/>
      <c r="J154" s="40"/>
      <c r="K154" s="39"/>
      <c r="L154" s="39"/>
      <c r="M154" s="40"/>
      <c r="N154" s="40"/>
      <c r="O154" s="41"/>
      <c r="P154" s="41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8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39"/>
      <c r="J155" s="40"/>
      <c r="K155" s="39"/>
      <c r="L155" s="39"/>
      <c r="M155" s="40"/>
      <c r="N155" s="40"/>
      <c r="O155" s="41"/>
      <c r="P155" s="41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8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39"/>
      <c r="J156" s="40"/>
      <c r="K156" s="39"/>
      <c r="L156" s="39"/>
      <c r="M156" s="40"/>
      <c r="N156" s="40"/>
      <c r="O156" s="41"/>
      <c r="P156" s="41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8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39"/>
      <c r="J157" s="40"/>
      <c r="K157" s="39"/>
      <c r="L157" s="39"/>
      <c r="M157" s="40"/>
      <c r="N157" s="40"/>
      <c r="O157" s="41"/>
      <c r="P157" s="41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8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39"/>
      <c r="J158" s="40"/>
      <c r="K158" s="39"/>
      <c r="L158" s="39"/>
      <c r="M158" s="40"/>
      <c r="N158" s="40"/>
      <c r="O158" s="41"/>
      <c r="P158" s="41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8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39"/>
      <c r="J159" s="40"/>
      <c r="K159" s="39"/>
      <c r="L159" s="39"/>
      <c r="M159" s="40"/>
      <c r="N159" s="40"/>
      <c r="O159" s="41"/>
      <c r="P159" s="41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8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39"/>
      <c r="J160" s="40"/>
      <c r="K160" s="39"/>
      <c r="L160" s="39"/>
      <c r="M160" s="40"/>
      <c r="N160" s="40"/>
      <c r="O160" s="41"/>
      <c r="P160" s="41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8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39"/>
      <c r="J161" s="40"/>
      <c r="K161" s="39"/>
      <c r="L161" s="39"/>
      <c r="M161" s="40"/>
      <c r="N161" s="40"/>
      <c r="O161" s="41"/>
      <c r="P161" s="41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8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39"/>
      <c r="J162" s="40"/>
      <c r="K162" s="39"/>
      <c r="L162" s="39"/>
      <c r="M162" s="40"/>
      <c r="N162" s="40"/>
      <c r="O162" s="41"/>
      <c r="P162" s="41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8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39"/>
      <c r="J163" s="40"/>
      <c r="K163" s="39"/>
      <c r="L163" s="39"/>
      <c r="M163" s="40"/>
      <c r="N163" s="40"/>
      <c r="O163" s="41"/>
      <c r="P163" s="41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8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39"/>
      <c r="J164" s="40"/>
      <c r="K164" s="39"/>
      <c r="L164" s="39"/>
      <c r="M164" s="40"/>
      <c r="N164" s="40"/>
      <c r="O164" s="41"/>
      <c r="P164" s="41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8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39"/>
      <c r="J165" s="40"/>
      <c r="K165" s="39"/>
      <c r="L165" s="39"/>
      <c r="M165" s="40"/>
      <c r="N165" s="40"/>
      <c r="O165" s="41"/>
      <c r="P165" s="41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8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39"/>
      <c r="J166" s="40"/>
      <c r="K166" s="39"/>
      <c r="L166" s="39"/>
      <c r="M166" s="40"/>
      <c r="N166" s="40"/>
      <c r="O166" s="41"/>
      <c r="P166" s="41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8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39"/>
      <c r="J167" s="40"/>
      <c r="K167" s="39"/>
      <c r="L167" s="39"/>
      <c r="M167" s="40"/>
      <c r="N167" s="40"/>
      <c r="O167" s="41"/>
      <c r="P167" s="41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8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39"/>
      <c r="J168" s="40"/>
      <c r="K168" s="39"/>
      <c r="L168" s="39"/>
      <c r="M168" s="40"/>
      <c r="N168" s="40"/>
      <c r="O168" s="41"/>
      <c r="P168" s="41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8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39"/>
      <c r="J169" s="40"/>
      <c r="K169" s="39"/>
      <c r="L169" s="39"/>
      <c r="M169" s="40"/>
      <c r="N169" s="40"/>
      <c r="O169" s="41"/>
      <c r="P169" s="41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8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39"/>
      <c r="J170" s="40"/>
      <c r="K170" s="39"/>
      <c r="L170" s="39"/>
      <c r="M170" s="40"/>
      <c r="N170" s="40"/>
      <c r="O170" s="41"/>
      <c r="P170" s="41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8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39"/>
      <c r="J171" s="40"/>
      <c r="K171" s="39"/>
      <c r="L171" s="39"/>
      <c r="M171" s="40"/>
      <c r="N171" s="40"/>
      <c r="O171" s="41"/>
      <c r="P171" s="42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8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39"/>
      <c r="J172" s="40"/>
      <c r="K172" s="39"/>
      <c r="L172" s="39"/>
      <c r="M172" s="40"/>
      <c r="N172" s="40"/>
      <c r="O172" s="41"/>
      <c r="P172" s="41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8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39"/>
      <c r="J173" s="40"/>
      <c r="K173" s="39"/>
      <c r="L173" s="39"/>
      <c r="M173" s="40"/>
      <c r="N173" s="40"/>
      <c r="O173" s="41"/>
      <c r="P173" s="42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8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39"/>
      <c r="J174" s="40"/>
      <c r="K174" s="39"/>
      <c r="L174" s="39"/>
      <c r="M174" s="40"/>
      <c r="N174" s="40"/>
      <c r="O174" s="41"/>
      <c r="P174" s="41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8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39"/>
      <c r="J175" s="40"/>
      <c r="K175" s="39"/>
      <c r="L175" s="39"/>
      <c r="M175" s="40"/>
      <c r="N175" s="40"/>
      <c r="O175" s="41"/>
      <c r="P175" s="42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8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39"/>
      <c r="J176" s="40"/>
      <c r="K176" s="39"/>
      <c r="L176" s="39"/>
      <c r="M176" s="40"/>
      <c r="N176" s="40"/>
      <c r="O176" s="41"/>
      <c r="P176" s="42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8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39"/>
      <c r="J177" s="40"/>
      <c r="K177" s="39"/>
      <c r="L177" s="39"/>
      <c r="M177" s="40"/>
      <c r="N177" s="40"/>
      <c r="O177" s="41"/>
      <c r="P177" s="42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8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39"/>
      <c r="J178" s="40"/>
      <c r="K178" s="39"/>
      <c r="L178" s="39"/>
      <c r="M178" s="40"/>
      <c r="N178" s="40"/>
      <c r="O178" s="41"/>
      <c r="P178" s="42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8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39"/>
      <c r="J179" s="40"/>
      <c r="K179" s="39"/>
      <c r="L179" s="39"/>
      <c r="M179" s="40"/>
      <c r="N179" s="40"/>
      <c r="O179" s="41"/>
      <c r="P179" s="42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8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39"/>
      <c r="J180" s="40"/>
      <c r="K180" s="39"/>
      <c r="L180" s="39"/>
      <c r="M180" s="40"/>
      <c r="N180" s="40"/>
      <c r="O180" s="41"/>
      <c r="P180" s="42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8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39"/>
      <c r="J181" s="40"/>
      <c r="K181" s="39"/>
      <c r="L181" s="39"/>
      <c r="M181" s="40"/>
      <c r="N181" s="40"/>
      <c r="O181" s="41"/>
      <c r="P181" s="41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8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39"/>
      <c r="J182" s="40"/>
      <c r="K182" s="39"/>
      <c r="L182" s="39"/>
      <c r="M182" s="40"/>
      <c r="N182" s="40"/>
      <c r="O182" s="41"/>
      <c r="P182" s="42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8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39"/>
      <c r="J183" s="40"/>
      <c r="K183" s="39"/>
      <c r="L183" s="39"/>
      <c r="M183" s="40"/>
      <c r="N183" s="40"/>
      <c r="O183" s="41"/>
      <c r="P183" s="41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8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39"/>
      <c r="J184" s="40"/>
      <c r="K184" s="39"/>
      <c r="L184" s="39"/>
      <c r="M184" s="40"/>
      <c r="N184" s="40"/>
      <c r="O184" s="41"/>
      <c r="P184" s="41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8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39"/>
      <c r="J185" s="40"/>
      <c r="K185" s="39"/>
      <c r="L185" s="39"/>
      <c r="M185" s="40"/>
      <c r="N185" s="40"/>
      <c r="O185" s="41"/>
      <c r="P185" s="41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8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39"/>
      <c r="J186" s="40"/>
      <c r="K186" s="39"/>
      <c r="L186" s="39"/>
      <c r="M186" s="40"/>
      <c r="N186" s="40"/>
      <c r="O186" s="41"/>
      <c r="P186" s="41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8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39"/>
      <c r="J187" s="40"/>
      <c r="K187" s="39"/>
      <c r="L187" s="39"/>
      <c r="M187" s="40"/>
      <c r="N187" s="40"/>
      <c r="O187" s="41"/>
      <c r="P187" s="42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8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39"/>
      <c r="J188" s="40"/>
      <c r="K188" s="39"/>
      <c r="L188" s="39"/>
      <c r="M188" s="40"/>
      <c r="N188" s="40"/>
      <c r="O188" s="41"/>
      <c r="P188" s="42"/>
    </row>
    <row r="189" spans="1:16" x14ac:dyDescent="0.2">
      <c r="B189" s="3"/>
      <c r="E189" s="38"/>
      <c r="F189" s="3"/>
    </row>
    <row r="190" spans="1:16" x14ac:dyDescent="0.2">
      <c r="B190" s="3"/>
      <c r="E190" s="38"/>
      <c r="F190" s="3"/>
    </row>
    <row r="191" spans="1:16" x14ac:dyDescent="0.2">
      <c r="B191" s="3"/>
      <c r="E191" s="38"/>
      <c r="F191" s="3"/>
    </row>
    <row r="192" spans="1:16" x14ac:dyDescent="0.2">
      <c r="B192" s="3"/>
      <c r="E192" s="38"/>
      <c r="F192" s="3"/>
    </row>
    <row r="193" spans="2:6" x14ac:dyDescent="0.2">
      <c r="B193" s="3"/>
      <c r="E193" s="38"/>
      <c r="F193" s="3"/>
    </row>
    <row r="194" spans="2:6" x14ac:dyDescent="0.2">
      <c r="B194" s="3"/>
      <c r="E194" s="38"/>
      <c r="F194" s="3"/>
    </row>
    <row r="195" spans="2:6" x14ac:dyDescent="0.2">
      <c r="B195" s="3"/>
      <c r="E195" s="38"/>
      <c r="F195" s="3"/>
    </row>
    <row r="196" spans="2:6" x14ac:dyDescent="0.2">
      <c r="B196" s="3"/>
      <c r="E196" s="38"/>
      <c r="F196" s="3"/>
    </row>
    <row r="197" spans="2:6" x14ac:dyDescent="0.2">
      <c r="B197" s="3"/>
      <c r="E197" s="38"/>
      <c r="F197" s="3"/>
    </row>
    <row r="198" spans="2:6" x14ac:dyDescent="0.2">
      <c r="B198" s="3"/>
      <c r="E198" s="38"/>
      <c r="F198" s="3"/>
    </row>
    <row r="199" spans="2:6" x14ac:dyDescent="0.2">
      <c r="B199" s="3"/>
      <c r="E199" s="38"/>
      <c r="F199" s="3"/>
    </row>
    <row r="200" spans="2:6" x14ac:dyDescent="0.2">
      <c r="B200" s="3"/>
      <c r="E200" s="38"/>
      <c r="F200" s="3"/>
    </row>
    <row r="201" spans="2:6" x14ac:dyDescent="0.2">
      <c r="B201" s="3"/>
      <c r="E201" s="38"/>
      <c r="F201" s="3"/>
    </row>
    <row r="202" spans="2:6" x14ac:dyDescent="0.2">
      <c r="B202" s="3"/>
      <c r="E202" s="38"/>
      <c r="F202" s="3"/>
    </row>
    <row r="203" spans="2:6" x14ac:dyDescent="0.2">
      <c r="B203" s="3"/>
      <c r="E203" s="38"/>
      <c r="F203" s="3"/>
    </row>
    <row r="204" spans="2:6" x14ac:dyDescent="0.2">
      <c r="B204" s="3"/>
      <c r="E204" s="38"/>
      <c r="F204" s="3"/>
    </row>
    <row r="205" spans="2:6" x14ac:dyDescent="0.2">
      <c r="B205" s="3"/>
      <c r="E205" s="38"/>
      <c r="F205" s="3"/>
    </row>
    <row r="206" spans="2:6" x14ac:dyDescent="0.2">
      <c r="B206" s="3"/>
      <c r="E206" s="38"/>
      <c r="F206" s="3"/>
    </row>
    <row r="207" spans="2:6" x14ac:dyDescent="0.2">
      <c r="B207" s="3"/>
      <c r="E207" s="38"/>
      <c r="F207" s="3"/>
    </row>
    <row r="208" spans="2:6" x14ac:dyDescent="0.2">
      <c r="B208" s="3"/>
      <c r="E208" s="38"/>
      <c r="F208" s="3"/>
    </row>
    <row r="209" spans="2:6" x14ac:dyDescent="0.2">
      <c r="B209" s="3"/>
      <c r="E209" s="38"/>
      <c r="F209" s="3"/>
    </row>
    <row r="210" spans="2:6" x14ac:dyDescent="0.2">
      <c r="B210" s="3"/>
      <c r="E210" s="38"/>
      <c r="F210" s="3"/>
    </row>
    <row r="211" spans="2:6" x14ac:dyDescent="0.2">
      <c r="B211" s="3"/>
      <c r="E211" s="38"/>
      <c r="F211" s="3"/>
    </row>
    <row r="212" spans="2:6" x14ac:dyDescent="0.2">
      <c r="B212" s="3"/>
      <c r="E212" s="38"/>
      <c r="F212" s="3"/>
    </row>
    <row r="213" spans="2:6" x14ac:dyDescent="0.2">
      <c r="B213" s="3"/>
      <c r="E213" s="38"/>
      <c r="F213" s="3"/>
    </row>
    <row r="214" spans="2:6" x14ac:dyDescent="0.2">
      <c r="B214" s="3"/>
      <c r="E214" s="38"/>
      <c r="F214" s="3"/>
    </row>
    <row r="215" spans="2:6" x14ac:dyDescent="0.2">
      <c r="B215" s="3"/>
      <c r="E215" s="38"/>
      <c r="F215" s="3"/>
    </row>
    <row r="216" spans="2:6" x14ac:dyDescent="0.2">
      <c r="B216" s="3"/>
      <c r="E216" s="38"/>
      <c r="F216" s="3"/>
    </row>
    <row r="217" spans="2:6" x14ac:dyDescent="0.2">
      <c r="B217" s="3"/>
      <c r="E217" s="38"/>
      <c r="F217" s="3"/>
    </row>
    <row r="218" spans="2:6" x14ac:dyDescent="0.2">
      <c r="B218" s="3"/>
      <c r="E218" s="38"/>
      <c r="F218" s="3"/>
    </row>
    <row r="219" spans="2:6" x14ac:dyDescent="0.2">
      <c r="B219" s="3"/>
      <c r="E219" s="38"/>
      <c r="F219" s="3"/>
    </row>
    <row r="220" spans="2:6" x14ac:dyDescent="0.2">
      <c r="B220" s="3"/>
      <c r="E220" s="38"/>
      <c r="F220" s="3"/>
    </row>
    <row r="221" spans="2:6" x14ac:dyDescent="0.2">
      <c r="B221" s="3"/>
      <c r="E221" s="38"/>
      <c r="F221" s="3"/>
    </row>
    <row r="222" spans="2:6" x14ac:dyDescent="0.2">
      <c r="B222" s="3"/>
      <c r="E222" s="38"/>
      <c r="F222" s="3"/>
    </row>
    <row r="223" spans="2:6" x14ac:dyDescent="0.2">
      <c r="B223" s="3"/>
      <c r="E223" s="38"/>
      <c r="F223" s="3"/>
    </row>
    <row r="224" spans="2:6" x14ac:dyDescent="0.2">
      <c r="B224" s="3"/>
      <c r="E224" s="38"/>
      <c r="F224" s="3"/>
    </row>
    <row r="225" spans="2:6" x14ac:dyDescent="0.2">
      <c r="B225" s="3"/>
      <c r="E225" s="38"/>
      <c r="F225" s="3"/>
    </row>
    <row r="226" spans="2:6" x14ac:dyDescent="0.2">
      <c r="B226" s="3"/>
      <c r="E226" s="38"/>
      <c r="F226" s="3"/>
    </row>
    <row r="227" spans="2:6" x14ac:dyDescent="0.2">
      <c r="B227" s="3"/>
      <c r="E227" s="38"/>
      <c r="F227" s="3"/>
    </row>
    <row r="228" spans="2:6" x14ac:dyDescent="0.2">
      <c r="B228" s="3"/>
      <c r="E228" s="38"/>
      <c r="F228" s="3"/>
    </row>
    <row r="229" spans="2:6" x14ac:dyDescent="0.2">
      <c r="B229" s="3"/>
      <c r="E229" s="38"/>
      <c r="F229" s="3"/>
    </row>
    <row r="230" spans="2:6" x14ac:dyDescent="0.2">
      <c r="B230" s="3"/>
      <c r="E230" s="38"/>
      <c r="F230" s="3"/>
    </row>
    <row r="231" spans="2:6" x14ac:dyDescent="0.2">
      <c r="B231" s="3"/>
      <c r="E231" s="38"/>
      <c r="F231" s="3"/>
    </row>
    <row r="232" spans="2:6" x14ac:dyDescent="0.2">
      <c r="B232" s="3"/>
      <c r="E232" s="38"/>
      <c r="F232" s="3"/>
    </row>
    <row r="233" spans="2:6" x14ac:dyDescent="0.2">
      <c r="B233" s="3"/>
      <c r="E233" s="38"/>
      <c r="F233" s="3"/>
    </row>
    <row r="234" spans="2:6" x14ac:dyDescent="0.2">
      <c r="B234" s="3"/>
      <c r="E234" s="38"/>
      <c r="F234" s="3"/>
    </row>
    <row r="235" spans="2:6" x14ac:dyDescent="0.2">
      <c r="B235" s="3"/>
      <c r="E235" s="38"/>
      <c r="F235" s="3"/>
    </row>
    <row r="236" spans="2:6" x14ac:dyDescent="0.2">
      <c r="B236" s="3"/>
      <c r="E236" s="38"/>
      <c r="F236" s="3"/>
    </row>
    <row r="237" spans="2:6" x14ac:dyDescent="0.2">
      <c r="B237" s="3"/>
      <c r="E237" s="38"/>
      <c r="F237" s="3"/>
    </row>
    <row r="238" spans="2:6" x14ac:dyDescent="0.2">
      <c r="B238" s="3"/>
      <c r="E238" s="38"/>
      <c r="F238" s="3"/>
    </row>
    <row r="239" spans="2:6" x14ac:dyDescent="0.2">
      <c r="B239" s="3"/>
      <c r="E239" s="38"/>
      <c r="F239" s="3"/>
    </row>
    <row r="240" spans="2:6" x14ac:dyDescent="0.2">
      <c r="B240" s="3"/>
      <c r="E240" s="38"/>
      <c r="F240" s="3"/>
    </row>
    <row r="241" spans="2:6" x14ac:dyDescent="0.2">
      <c r="B241" s="3"/>
      <c r="E241" s="38"/>
      <c r="F241" s="3"/>
    </row>
    <row r="242" spans="2:6" x14ac:dyDescent="0.2">
      <c r="B242" s="3"/>
      <c r="E242" s="38"/>
      <c r="F242" s="3"/>
    </row>
    <row r="243" spans="2:6" x14ac:dyDescent="0.2">
      <c r="B243" s="3"/>
      <c r="E243" s="38"/>
      <c r="F243" s="3"/>
    </row>
    <row r="244" spans="2:6" x14ac:dyDescent="0.2">
      <c r="B244" s="3"/>
      <c r="E244" s="38"/>
      <c r="F244" s="3"/>
    </row>
    <row r="245" spans="2:6" x14ac:dyDescent="0.2">
      <c r="B245" s="3"/>
      <c r="E245" s="38"/>
      <c r="F245" s="3"/>
    </row>
    <row r="246" spans="2:6" x14ac:dyDescent="0.2">
      <c r="B246" s="3"/>
      <c r="E246" s="38"/>
      <c r="F246" s="3"/>
    </row>
    <row r="247" spans="2:6" x14ac:dyDescent="0.2">
      <c r="B247" s="3"/>
      <c r="E247" s="38"/>
      <c r="F247" s="3"/>
    </row>
    <row r="248" spans="2:6" x14ac:dyDescent="0.2">
      <c r="B248" s="3"/>
      <c r="E248" s="38"/>
      <c r="F248" s="3"/>
    </row>
    <row r="249" spans="2:6" x14ac:dyDescent="0.2">
      <c r="B249" s="3"/>
      <c r="E249" s="38"/>
      <c r="F249" s="3"/>
    </row>
    <row r="250" spans="2:6" x14ac:dyDescent="0.2">
      <c r="B250" s="3"/>
      <c r="E250" s="38"/>
      <c r="F250" s="3"/>
    </row>
    <row r="251" spans="2:6" x14ac:dyDescent="0.2">
      <c r="B251" s="3"/>
      <c r="E251" s="38"/>
      <c r="F251" s="3"/>
    </row>
    <row r="252" spans="2:6" x14ac:dyDescent="0.2">
      <c r="B252" s="3"/>
      <c r="E252" s="38"/>
      <c r="F252" s="3"/>
    </row>
    <row r="253" spans="2:6" x14ac:dyDescent="0.2">
      <c r="B253" s="3"/>
      <c r="E253" s="38"/>
      <c r="F253" s="3"/>
    </row>
    <row r="254" spans="2:6" x14ac:dyDescent="0.2">
      <c r="B254" s="3"/>
      <c r="E254" s="38"/>
      <c r="F254" s="3"/>
    </row>
    <row r="255" spans="2:6" x14ac:dyDescent="0.2">
      <c r="B255" s="3"/>
      <c r="E255" s="38"/>
      <c r="F255" s="3"/>
    </row>
    <row r="256" spans="2:6" x14ac:dyDescent="0.2">
      <c r="B256" s="3"/>
      <c r="E256" s="38"/>
      <c r="F256" s="3"/>
    </row>
    <row r="257" spans="2:6" x14ac:dyDescent="0.2">
      <c r="B257" s="3"/>
      <c r="E257" s="38"/>
      <c r="F257" s="3"/>
    </row>
    <row r="258" spans="2:6" x14ac:dyDescent="0.2">
      <c r="B258" s="3"/>
      <c r="E258" s="38"/>
      <c r="F258" s="3"/>
    </row>
    <row r="259" spans="2:6" x14ac:dyDescent="0.2">
      <c r="B259" s="3"/>
      <c r="E259" s="38"/>
      <c r="F259" s="3"/>
    </row>
    <row r="260" spans="2:6" x14ac:dyDescent="0.2">
      <c r="B260" s="3"/>
      <c r="E260" s="38"/>
      <c r="F260" s="3"/>
    </row>
    <row r="261" spans="2:6" x14ac:dyDescent="0.2">
      <c r="B261" s="3"/>
      <c r="E261" s="38"/>
      <c r="F261" s="3"/>
    </row>
    <row r="262" spans="2:6" x14ac:dyDescent="0.2">
      <c r="B262" s="3"/>
      <c r="E262" s="38"/>
      <c r="F262" s="3"/>
    </row>
    <row r="263" spans="2:6" x14ac:dyDescent="0.2">
      <c r="B263" s="3"/>
      <c r="E263" s="38"/>
      <c r="F263" s="3"/>
    </row>
    <row r="264" spans="2:6" x14ac:dyDescent="0.2">
      <c r="B264" s="3"/>
      <c r="E264" s="38"/>
      <c r="F264" s="3"/>
    </row>
    <row r="265" spans="2:6" x14ac:dyDescent="0.2">
      <c r="B265" s="3"/>
      <c r="E265" s="38"/>
      <c r="F265" s="3"/>
    </row>
    <row r="266" spans="2:6" x14ac:dyDescent="0.2">
      <c r="B266" s="3"/>
      <c r="E266" s="38"/>
      <c r="F266" s="3"/>
    </row>
    <row r="267" spans="2:6" x14ac:dyDescent="0.2">
      <c r="B267" s="3"/>
      <c r="E267" s="38"/>
      <c r="F267" s="3"/>
    </row>
    <row r="268" spans="2:6" x14ac:dyDescent="0.2">
      <c r="B268" s="3"/>
      <c r="E268" s="38"/>
      <c r="F268" s="3"/>
    </row>
    <row r="269" spans="2:6" x14ac:dyDescent="0.2">
      <c r="B269" s="3"/>
      <c r="E269" s="38"/>
      <c r="F269" s="3"/>
    </row>
    <row r="270" spans="2:6" x14ac:dyDescent="0.2">
      <c r="B270" s="3"/>
      <c r="E270" s="38"/>
      <c r="F270" s="3"/>
    </row>
    <row r="271" spans="2:6" x14ac:dyDescent="0.2">
      <c r="B271" s="3"/>
      <c r="E271" s="38"/>
      <c r="F271" s="3"/>
    </row>
    <row r="272" spans="2:6" x14ac:dyDescent="0.2">
      <c r="B272" s="3"/>
      <c r="E272" s="38"/>
      <c r="F272" s="3"/>
    </row>
    <row r="273" spans="2:6" x14ac:dyDescent="0.2">
      <c r="B273" s="3"/>
      <c r="E273" s="38"/>
      <c r="F273" s="3"/>
    </row>
    <row r="274" spans="2:6" x14ac:dyDescent="0.2">
      <c r="B274" s="3"/>
      <c r="E274" s="38"/>
      <c r="F274" s="3"/>
    </row>
    <row r="275" spans="2:6" x14ac:dyDescent="0.2">
      <c r="B275" s="3"/>
      <c r="E275" s="38"/>
      <c r="F275" s="3"/>
    </row>
    <row r="276" spans="2:6" x14ac:dyDescent="0.2">
      <c r="B276" s="3"/>
      <c r="E276" s="38"/>
      <c r="F276" s="3"/>
    </row>
    <row r="277" spans="2:6" x14ac:dyDescent="0.2">
      <c r="B277" s="3"/>
      <c r="E277" s="38"/>
      <c r="F277" s="3"/>
    </row>
    <row r="278" spans="2:6" x14ac:dyDescent="0.2">
      <c r="B278" s="3"/>
      <c r="E278" s="38"/>
      <c r="F278" s="3"/>
    </row>
    <row r="279" spans="2:6" x14ac:dyDescent="0.2">
      <c r="B279" s="3"/>
      <c r="E279" s="38"/>
      <c r="F279" s="3"/>
    </row>
    <row r="280" spans="2:6" x14ac:dyDescent="0.2">
      <c r="B280" s="3"/>
      <c r="E280" s="38"/>
      <c r="F280" s="3"/>
    </row>
    <row r="281" spans="2:6" x14ac:dyDescent="0.2">
      <c r="B281" s="3"/>
      <c r="E281" s="38"/>
      <c r="F281" s="3"/>
    </row>
    <row r="282" spans="2:6" x14ac:dyDescent="0.2">
      <c r="B282" s="3"/>
      <c r="E282" s="38"/>
      <c r="F282" s="3"/>
    </row>
    <row r="283" spans="2:6" x14ac:dyDescent="0.2">
      <c r="B283" s="3"/>
      <c r="E283" s="38"/>
      <c r="F283" s="3"/>
    </row>
    <row r="284" spans="2:6" x14ac:dyDescent="0.2">
      <c r="B284" s="3"/>
      <c r="E284" s="38"/>
      <c r="F284" s="3"/>
    </row>
    <row r="285" spans="2:6" x14ac:dyDescent="0.2">
      <c r="B285" s="3"/>
      <c r="E285" s="38"/>
      <c r="F285" s="3"/>
    </row>
    <row r="286" spans="2:6" x14ac:dyDescent="0.2">
      <c r="B286" s="3"/>
      <c r="E286" s="38"/>
      <c r="F286" s="3"/>
    </row>
    <row r="287" spans="2:6" x14ac:dyDescent="0.2">
      <c r="B287" s="3"/>
      <c r="E287" s="38"/>
      <c r="F287" s="3"/>
    </row>
    <row r="288" spans="2:6" x14ac:dyDescent="0.2">
      <c r="B288" s="3"/>
      <c r="E288" s="38"/>
      <c r="F288" s="3"/>
    </row>
    <row r="289" spans="2:6" x14ac:dyDescent="0.2">
      <c r="B289" s="3"/>
      <c r="E289" s="38"/>
      <c r="F289" s="3"/>
    </row>
    <row r="290" spans="2:6" x14ac:dyDescent="0.2">
      <c r="B290" s="3"/>
      <c r="E290" s="38"/>
      <c r="F290" s="3"/>
    </row>
    <row r="291" spans="2:6" x14ac:dyDescent="0.2">
      <c r="B291" s="3"/>
      <c r="E291" s="38"/>
      <c r="F291" s="3"/>
    </row>
    <row r="292" spans="2:6" x14ac:dyDescent="0.2">
      <c r="B292" s="3"/>
      <c r="E292" s="38"/>
      <c r="F292" s="3"/>
    </row>
    <row r="293" spans="2:6" x14ac:dyDescent="0.2">
      <c r="B293" s="3"/>
      <c r="E293" s="38"/>
      <c r="F293" s="3"/>
    </row>
    <row r="294" spans="2:6" x14ac:dyDescent="0.2">
      <c r="B294" s="3"/>
      <c r="E294" s="38"/>
      <c r="F294" s="3"/>
    </row>
    <row r="295" spans="2:6" x14ac:dyDescent="0.2">
      <c r="B295" s="3"/>
      <c r="E295" s="38"/>
      <c r="F295" s="3"/>
    </row>
    <row r="296" spans="2:6" x14ac:dyDescent="0.2">
      <c r="B296" s="3"/>
      <c r="E296" s="38"/>
      <c r="F296" s="3"/>
    </row>
    <row r="297" spans="2:6" x14ac:dyDescent="0.2">
      <c r="B297" s="3"/>
      <c r="E297" s="38"/>
      <c r="F297" s="3"/>
    </row>
    <row r="298" spans="2:6" x14ac:dyDescent="0.2">
      <c r="B298" s="3"/>
      <c r="E298" s="38"/>
      <c r="F298" s="3"/>
    </row>
    <row r="299" spans="2:6" x14ac:dyDescent="0.2">
      <c r="B299" s="3"/>
      <c r="E299" s="38"/>
      <c r="F299" s="3"/>
    </row>
    <row r="300" spans="2:6" x14ac:dyDescent="0.2">
      <c r="B300" s="3"/>
      <c r="E300" s="38"/>
      <c r="F300" s="3"/>
    </row>
    <row r="301" spans="2:6" x14ac:dyDescent="0.2">
      <c r="B301" s="3"/>
      <c r="E301" s="38"/>
      <c r="F301" s="3"/>
    </row>
    <row r="302" spans="2:6" x14ac:dyDescent="0.2">
      <c r="B302" s="3"/>
      <c r="E302" s="38"/>
      <c r="F302" s="3"/>
    </row>
    <row r="303" spans="2:6" x14ac:dyDescent="0.2">
      <c r="B303" s="3"/>
      <c r="E303" s="38"/>
      <c r="F303" s="3"/>
    </row>
    <row r="304" spans="2:6" x14ac:dyDescent="0.2">
      <c r="B304" s="3"/>
      <c r="E304" s="38"/>
      <c r="F304" s="3"/>
    </row>
    <row r="305" spans="2:6" x14ac:dyDescent="0.2">
      <c r="B305" s="3"/>
      <c r="E305" s="38"/>
      <c r="F305" s="3"/>
    </row>
    <row r="306" spans="2:6" x14ac:dyDescent="0.2">
      <c r="B306" s="3"/>
      <c r="E306" s="38"/>
      <c r="F306" s="3"/>
    </row>
    <row r="307" spans="2:6" x14ac:dyDescent="0.2">
      <c r="B307" s="3"/>
      <c r="E307" s="38"/>
      <c r="F307" s="3"/>
    </row>
    <row r="308" spans="2:6" x14ac:dyDescent="0.2">
      <c r="B308" s="3"/>
      <c r="E308" s="38"/>
      <c r="F308" s="3"/>
    </row>
    <row r="309" spans="2:6" x14ac:dyDescent="0.2">
      <c r="B309" s="3"/>
      <c r="E309" s="38"/>
      <c r="F309" s="3"/>
    </row>
    <row r="310" spans="2:6" x14ac:dyDescent="0.2">
      <c r="B310" s="3"/>
      <c r="E310" s="38"/>
      <c r="F310" s="3"/>
    </row>
    <row r="311" spans="2:6" x14ac:dyDescent="0.2">
      <c r="B311" s="3"/>
      <c r="E311" s="38"/>
      <c r="F311" s="3"/>
    </row>
    <row r="312" spans="2:6" x14ac:dyDescent="0.2">
      <c r="B312" s="3"/>
      <c r="E312" s="38"/>
      <c r="F312" s="3"/>
    </row>
    <row r="313" spans="2:6" x14ac:dyDescent="0.2">
      <c r="B313" s="3"/>
      <c r="E313" s="38"/>
      <c r="F313" s="3"/>
    </row>
    <row r="314" spans="2:6" x14ac:dyDescent="0.2">
      <c r="B314" s="3"/>
      <c r="E314" s="38"/>
      <c r="F314" s="3"/>
    </row>
    <row r="315" spans="2:6" x14ac:dyDescent="0.2">
      <c r="B315" s="3"/>
      <c r="E315" s="38"/>
      <c r="F315" s="3"/>
    </row>
    <row r="316" spans="2:6" x14ac:dyDescent="0.2">
      <c r="B316" s="3"/>
      <c r="E316" s="38"/>
      <c r="F316" s="3"/>
    </row>
    <row r="317" spans="2:6" x14ac:dyDescent="0.2">
      <c r="B317" s="3"/>
      <c r="E317" s="38"/>
      <c r="F317" s="3"/>
    </row>
    <row r="318" spans="2:6" x14ac:dyDescent="0.2">
      <c r="B318" s="3"/>
      <c r="E318" s="38"/>
      <c r="F318" s="3"/>
    </row>
    <row r="319" spans="2:6" x14ac:dyDescent="0.2">
      <c r="B319" s="3"/>
      <c r="E319" s="38"/>
      <c r="F319" s="3"/>
    </row>
    <row r="320" spans="2:6" x14ac:dyDescent="0.2">
      <c r="B320" s="3"/>
      <c r="E320" s="38"/>
      <c r="F320" s="3"/>
    </row>
    <row r="321" spans="2:6" x14ac:dyDescent="0.2">
      <c r="B321" s="3"/>
      <c r="E321" s="38"/>
      <c r="F321" s="3"/>
    </row>
    <row r="322" spans="2:6" x14ac:dyDescent="0.2">
      <c r="B322" s="3"/>
      <c r="E322" s="38"/>
      <c r="F322" s="3"/>
    </row>
    <row r="323" spans="2:6" x14ac:dyDescent="0.2">
      <c r="B323" s="3"/>
      <c r="E323" s="38"/>
      <c r="F323" s="3"/>
    </row>
    <row r="324" spans="2:6" x14ac:dyDescent="0.2">
      <c r="B324" s="3"/>
      <c r="E324" s="38"/>
      <c r="F324" s="3"/>
    </row>
    <row r="325" spans="2:6" x14ac:dyDescent="0.2">
      <c r="B325" s="3"/>
      <c r="E325" s="38"/>
      <c r="F325" s="3"/>
    </row>
    <row r="326" spans="2:6" x14ac:dyDescent="0.2">
      <c r="B326" s="3"/>
      <c r="E326" s="38"/>
      <c r="F326" s="3"/>
    </row>
    <row r="327" spans="2:6" x14ac:dyDescent="0.2">
      <c r="B327" s="3"/>
      <c r="E327" s="38"/>
      <c r="F327" s="3"/>
    </row>
    <row r="328" spans="2:6" x14ac:dyDescent="0.2">
      <c r="B328" s="3"/>
      <c r="E328" s="38"/>
      <c r="F328" s="3"/>
    </row>
    <row r="329" spans="2:6" x14ac:dyDescent="0.2">
      <c r="B329" s="3"/>
      <c r="E329" s="38"/>
      <c r="F329" s="3"/>
    </row>
    <row r="330" spans="2:6" x14ac:dyDescent="0.2">
      <c r="B330" s="3"/>
      <c r="E330" s="38"/>
      <c r="F330" s="3"/>
    </row>
    <row r="331" spans="2:6" x14ac:dyDescent="0.2">
      <c r="B331" s="3"/>
      <c r="E331" s="38"/>
      <c r="F331" s="3"/>
    </row>
    <row r="332" spans="2:6" x14ac:dyDescent="0.2">
      <c r="B332" s="3"/>
      <c r="E332" s="38"/>
      <c r="F332" s="3"/>
    </row>
    <row r="333" spans="2:6" x14ac:dyDescent="0.2">
      <c r="B333" s="3"/>
      <c r="E333" s="38"/>
      <c r="F333" s="3"/>
    </row>
    <row r="334" spans="2:6" x14ac:dyDescent="0.2">
      <c r="B334" s="3"/>
      <c r="E334" s="38"/>
      <c r="F334" s="3"/>
    </row>
    <row r="335" spans="2:6" x14ac:dyDescent="0.2">
      <c r="B335" s="3"/>
      <c r="E335" s="38"/>
      <c r="F335" s="3"/>
    </row>
    <row r="336" spans="2:6" x14ac:dyDescent="0.2">
      <c r="B336" s="3"/>
      <c r="E336" s="38"/>
      <c r="F336" s="3"/>
    </row>
    <row r="337" spans="2:6" x14ac:dyDescent="0.2">
      <c r="B337" s="3"/>
      <c r="E337" s="38"/>
      <c r="F337" s="3"/>
    </row>
    <row r="338" spans="2:6" x14ac:dyDescent="0.2">
      <c r="B338" s="3"/>
      <c r="E338" s="38"/>
      <c r="F338" s="3"/>
    </row>
    <row r="339" spans="2:6" x14ac:dyDescent="0.2">
      <c r="B339" s="3"/>
      <c r="E339" s="38"/>
      <c r="F339" s="3"/>
    </row>
    <row r="340" spans="2:6" x14ac:dyDescent="0.2">
      <c r="B340" s="3"/>
      <c r="E340" s="38"/>
      <c r="F340" s="3"/>
    </row>
    <row r="341" spans="2:6" x14ac:dyDescent="0.2">
      <c r="B341" s="3"/>
      <c r="E341" s="38"/>
      <c r="F341" s="3"/>
    </row>
    <row r="342" spans="2:6" x14ac:dyDescent="0.2">
      <c r="B342" s="3"/>
      <c r="E342" s="38"/>
      <c r="F342" s="3"/>
    </row>
    <row r="343" spans="2:6" x14ac:dyDescent="0.2">
      <c r="B343" s="3"/>
      <c r="E343" s="38"/>
      <c r="F343" s="3"/>
    </row>
    <row r="344" spans="2:6" x14ac:dyDescent="0.2">
      <c r="B344" s="3"/>
      <c r="E344" s="38"/>
      <c r="F344" s="3"/>
    </row>
    <row r="345" spans="2:6" x14ac:dyDescent="0.2">
      <c r="B345" s="3"/>
      <c r="E345" s="38"/>
      <c r="F345" s="3"/>
    </row>
    <row r="346" spans="2:6" x14ac:dyDescent="0.2">
      <c r="B346" s="3"/>
      <c r="E346" s="38"/>
      <c r="F346" s="3"/>
    </row>
    <row r="347" spans="2:6" x14ac:dyDescent="0.2">
      <c r="B347" s="3"/>
      <c r="E347" s="38"/>
      <c r="F347" s="3"/>
    </row>
    <row r="348" spans="2:6" x14ac:dyDescent="0.2">
      <c r="B348" s="3"/>
      <c r="E348" s="38"/>
      <c r="F348" s="3"/>
    </row>
    <row r="349" spans="2:6" x14ac:dyDescent="0.2">
      <c r="B349" s="3"/>
      <c r="E349" s="38"/>
      <c r="F349" s="3"/>
    </row>
    <row r="350" spans="2:6" x14ac:dyDescent="0.2">
      <c r="B350" s="3"/>
      <c r="E350" s="38"/>
      <c r="F350" s="3"/>
    </row>
    <row r="351" spans="2:6" x14ac:dyDescent="0.2">
      <c r="B351" s="3"/>
      <c r="E351" s="38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2024-01-06T06:54:29Z</dcterms:modified>
</cp:coreProperties>
</file>