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EFAC2D2-A22D-4F75-AA3B-E3B860ADF83E}" xr6:coauthVersionLast="47" xr6:coauthVersionMax="47" xr10:uidLastSave="{00000000-0000-0000-0000-000000000000}"/>
  <bookViews>
    <workbookView xWindow="14175" yWindow="390" windowWidth="14505" windowHeight="14490"/>
  </bookViews>
  <sheets>
    <sheet name="Active 1" sheetId="1" r:id="rId1"/>
    <sheet name="Active 2" sheetId="2" r:id="rId2"/>
    <sheet name="Active 3" sheetId="3" r:id="rId3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H26" i="1" s="1"/>
  <c r="Q26" i="1"/>
  <c r="E26" i="2"/>
  <c r="F26" i="2" s="1"/>
  <c r="G26" i="2" s="1"/>
  <c r="H26" i="2" s="1"/>
  <c r="Q26" i="2"/>
  <c r="E26" i="3"/>
  <c r="F26" i="3"/>
  <c r="G26" i="3"/>
  <c r="H26" i="3" s="1"/>
  <c r="Q26" i="3"/>
  <c r="E25" i="3"/>
  <c r="F25" i="3"/>
  <c r="G25" i="3"/>
  <c r="H25" i="3"/>
  <c r="F11" i="3"/>
  <c r="E22" i="3"/>
  <c r="F22" i="3"/>
  <c r="G22" i="3"/>
  <c r="H22" i="3"/>
  <c r="E23" i="3"/>
  <c r="F23" i="3"/>
  <c r="G23" i="3"/>
  <c r="H23" i="3"/>
  <c r="E24" i="3"/>
  <c r="F24" i="3"/>
  <c r="G24" i="3"/>
  <c r="H24" i="3"/>
  <c r="G11" i="3"/>
  <c r="E14" i="3"/>
  <c r="E15" i="3" s="1"/>
  <c r="A21" i="3"/>
  <c r="H20" i="3"/>
  <c r="C21" i="3"/>
  <c r="C17" i="3"/>
  <c r="Q22" i="3"/>
  <c r="Q23" i="3"/>
  <c r="Q24" i="3"/>
  <c r="Q25" i="3"/>
  <c r="F1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G11" i="2"/>
  <c r="E14" i="2"/>
  <c r="E15" i="2" s="1"/>
  <c r="A21" i="2"/>
  <c r="H20" i="2"/>
  <c r="C21" i="2"/>
  <c r="Q21" i="2"/>
  <c r="Q22" i="2"/>
  <c r="Q23" i="2"/>
  <c r="Q24" i="2"/>
  <c r="Q25" i="2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C21" i="1"/>
  <c r="E21" i="1"/>
  <c r="F21" i="1"/>
  <c r="G21" i="1"/>
  <c r="H21" i="1"/>
  <c r="F11" i="1"/>
  <c r="Q22" i="1"/>
  <c r="Q23" i="1"/>
  <c r="Q24" i="1"/>
  <c r="Q25" i="1"/>
  <c r="A21" i="1"/>
  <c r="H20" i="1"/>
  <c r="G11" i="1"/>
  <c r="E14" i="1"/>
  <c r="E15" i="1" s="1"/>
  <c r="C17" i="1"/>
  <c r="Q21" i="1"/>
  <c r="E21" i="2"/>
  <c r="F21" i="2"/>
  <c r="G21" i="2"/>
  <c r="C17" i="2"/>
  <c r="Q21" i="3"/>
  <c r="E21" i="3"/>
  <c r="F21" i="3"/>
  <c r="G21" i="3"/>
  <c r="H21" i="2"/>
  <c r="H21" i="3"/>
  <c r="C12" i="2"/>
  <c r="C11" i="2"/>
  <c r="C12" i="3"/>
  <c r="C12" i="1"/>
  <c r="O26" i="2" l="1"/>
  <c r="S26" i="2" s="1"/>
  <c r="C16" i="1"/>
  <c r="D18" i="1" s="1"/>
  <c r="C16" i="3"/>
  <c r="D18" i="3" s="1"/>
  <c r="O23" i="2"/>
  <c r="S23" i="2" s="1"/>
  <c r="O21" i="2"/>
  <c r="S21" i="2" s="1"/>
  <c r="O25" i="2"/>
  <c r="S25" i="2" s="1"/>
  <c r="O24" i="2"/>
  <c r="S24" i="2" s="1"/>
  <c r="C15" i="2"/>
  <c r="O22" i="2"/>
  <c r="S22" i="2" s="1"/>
  <c r="C16" i="2"/>
  <c r="D18" i="2" s="1"/>
  <c r="C11" i="3"/>
  <c r="C11" i="1"/>
  <c r="O26" i="1" l="1"/>
  <c r="S26" i="1" s="1"/>
  <c r="O26" i="3"/>
  <c r="S26" i="3" s="1"/>
  <c r="C15" i="1"/>
  <c r="O21" i="1"/>
  <c r="S21" i="1" s="1"/>
  <c r="O23" i="1"/>
  <c r="S23" i="1" s="1"/>
  <c r="O22" i="1"/>
  <c r="S22" i="1" s="1"/>
  <c r="O25" i="1"/>
  <c r="S25" i="1" s="1"/>
  <c r="O24" i="1"/>
  <c r="S24" i="1" s="1"/>
  <c r="O24" i="3"/>
  <c r="S24" i="3" s="1"/>
  <c r="C15" i="3"/>
  <c r="O21" i="3"/>
  <c r="S21" i="3" s="1"/>
  <c r="O25" i="3"/>
  <c r="S25" i="3" s="1"/>
  <c r="O23" i="3"/>
  <c r="S23" i="3" s="1"/>
  <c r="O22" i="3"/>
  <c r="S22" i="3" s="1"/>
  <c r="C18" i="2"/>
  <c r="E16" i="2"/>
  <c r="E17" i="2" s="1"/>
  <c r="S19" i="2"/>
  <c r="S19" i="3" l="1"/>
  <c r="E16" i="3"/>
  <c r="E17" i="3" s="1"/>
  <c r="C18" i="3"/>
  <c r="S19" i="1"/>
  <c r="C18" i="1"/>
  <c r="E16" i="1"/>
  <c r="E17" i="1" s="1"/>
</calcChain>
</file>

<file path=xl/sharedStrings.xml><?xml version="1.0" encoding="utf-8"?>
<sst xmlns="http://schemas.openxmlformats.org/spreadsheetml/2006/main" count="186" uniqueCount="58">
  <si>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</si>
  <si>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</si>
  <si>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</si>
  <si>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</si>
  <si>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</si>
  <si>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</si>
  <si>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</si>
  <si>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</si>
  <si>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</si>
  <si>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</si>
  <si>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</si>
  <si>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</si>
  <si>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</si>
  <si>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</si>
  <si>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</si>
  <si>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</si>
  <si>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</si>
  <si>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</si>
  <si>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</si>
  <si>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</si>
  <si>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</si>
  <si>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</si>
  <si>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</si>
  <si>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</si>
  <si>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</si>
  <si>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</si>
  <si>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</si>
  <si>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</si>
  <si>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</si>
  <si>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</si>
  <si>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</si>
  <si>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</si>
  <si>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</si>
  <si>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</si>
  <si>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</si>
  <si>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</si>
  <si>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</si>
  <si>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</si>
  <si>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</si>
  <si>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</si>
  <si>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</si>
  <si>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</si>
  <si>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</si>
  <si>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G0122-0419</t>
  </si>
  <si>
    <t>IBVS 5945</t>
  </si>
  <si>
    <t>II</t>
  </si>
  <si>
    <t>IBVS 5992</t>
  </si>
  <si>
    <t>IBVS 6029</t>
  </si>
  <si>
    <t>I</t>
  </si>
  <si>
    <t>IBVS 6042</t>
  </si>
  <si>
    <t>G0122-0419_Ori.xls</t>
  </si>
  <si>
    <t>EB / EW</t>
  </si>
  <si>
    <t>Ori</t>
  </si>
  <si>
    <t>VSX</t>
  </si>
  <si>
    <t>ToMcat</t>
  </si>
  <si>
    <t>ToMcat 2014-01-25</t>
  </si>
  <si>
    <t>VSB, 108</t>
  </si>
  <si>
    <t>V2811 Ori / GSC 0122-0419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</si>
</sst>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72" fontId="17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V2811 Ori</a:t>
            </a:r>
            <a:r>
              <a:rPr lang="en-AU" baseline="0"/>
              <a:t> / </a:t>
            </a:r>
            <a:r>
              <a:rPr lang="en-AU"/>
              <a:t>GSC 0122-0419 -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-1.6950000281212851E-4</c:v>
                </c:pt>
                <c:pt idx="2">
                  <c:v>1.083499999367632E-3</c:v>
                </c:pt>
                <c:pt idx="3">
                  <c:v>2.1009999982197769E-3</c:v>
                </c:pt>
                <c:pt idx="4">
                  <c:v>-3.1040000030770898E-3</c:v>
                </c:pt>
                <c:pt idx="5">
                  <c:v>-2.0168000046396628E-2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D1-4C7C-B317-EA4D61D378B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D1-4C7C-B317-EA4D61D378B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D1-4C7C-B317-EA4D61D378B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D1-4C7C-B317-EA4D61D378B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D1-4C7C-B317-EA4D61D378B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D1-4C7C-B317-EA4D61D378B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D1-4C7C-B317-EA4D61D378B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5.5419485041018554E-3</c:v>
                </c:pt>
                <c:pt idx="1">
                  <c:v>-2.1464873904395582E-4</c:v>
                </c:pt>
                <c:pt idx="2">
                  <c:v>-1.4808056774340836E-3</c:v>
                </c:pt>
                <c:pt idx="3">
                  <c:v>-2.9647044148986453E-3</c:v>
                </c:pt>
                <c:pt idx="4">
                  <c:v>-4.1347760042310146E-3</c:v>
                </c:pt>
                <c:pt idx="5">
                  <c:v>-1.7004013723192601E-2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D1-4C7C-B317-EA4D61D378B3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D1-4C7C-B317-EA4D61D37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72968"/>
        <c:axId val="1"/>
      </c:scatterChart>
      <c:valAx>
        <c:axId val="717672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72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V2811 Ori / GSC 0122-0419 -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ToMcat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1.5299999999115244E-2</c:v>
                </c:pt>
                <c:pt idx="2">
                  <c:v>1.292000000103144E-2</c:v>
                </c:pt>
                <c:pt idx="3">
                  <c:v>1.9359999998414423E-2</c:v>
                </c:pt>
                <c:pt idx="4">
                  <c:v>3.0999999995401595E-2</c:v>
                </c:pt>
                <c:pt idx="5">
                  <c:v>0.14409999995405087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CA-46F6-B99F-6444EBC8BE24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CA-46F6-B99F-6444EBC8BE24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CA-46F6-B99F-6444EBC8BE24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CA-46F6-B99F-6444EBC8BE24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CA-46F6-B99F-6444EBC8BE24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CA-46F6-B99F-6444EBC8BE24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CA-46F6-B99F-6444EBC8BE24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-2.3699414604536582E-2</c:v>
                </c:pt>
                <c:pt idx="1">
                  <c:v>1.5555182306482701E-2</c:v>
                </c:pt>
                <c:pt idx="2">
                  <c:v>2.4189372067885552E-2</c:v>
                </c:pt>
                <c:pt idx="3">
                  <c:v>3.4308132431723697E-2</c:v>
                </c:pt>
                <c:pt idx="4">
                  <c:v>4.2286560945425065E-2</c:v>
                </c:pt>
                <c:pt idx="5">
                  <c:v>0.13004016680103314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CA-46F6-B99F-6444EBC8BE24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CA-46F6-B99F-6444EBC8B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67568"/>
        <c:axId val="1"/>
      </c:scatterChart>
      <c:valAx>
        <c:axId val="71766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6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5338345864661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V2811 Ori / GSC 0122-0419 -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ToMcat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3'!$H$21:$H$999</c:f>
              <c:numCache>
                <c:formatCode>General</c:formatCode>
                <c:ptCount val="979"/>
                <c:pt idx="0">
                  <c:v>0</c:v>
                </c:pt>
                <c:pt idx="1">
                  <c:v>3.1499999968218617E-3</c:v>
                </c:pt>
                <c:pt idx="2">
                  <c:v>2.5499999974272214E-3</c:v>
                </c:pt>
                <c:pt idx="3">
                  <c:v>4.9500000022817403E-3</c:v>
                </c:pt>
                <c:pt idx="4">
                  <c:v>5.4499999969266355E-3</c:v>
                </c:pt>
                <c:pt idx="5">
                  <c:v>3.0899999954272062E-2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93-433F-A513-E1E853F05EA6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93-433F-A513-E1E853F05EA6}"/>
            </c:ext>
          </c:extLst>
        </c:ser>
        <c:ser>
          <c:idx val="3"/>
          <c:order val="2"/>
          <c:tx>
            <c:strRef>
              <c:f>'Active 3'!$J$20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93-433F-A513-E1E853F05EA6}"/>
            </c:ext>
          </c:extLst>
        </c:ser>
        <c:ser>
          <c:idx val="4"/>
          <c:order val="3"/>
          <c:tx>
            <c:strRef>
              <c:f>'Active 3'!$K$20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93-433F-A513-E1E853F05EA6}"/>
            </c:ext>
          </c:extLst>
        </c:ser>
        <c:ser>
          <c:idx val="2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93-433F-A513-E1E853F05EA6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93-433F-A513-E1E853F05EA6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93-433F-A513-E1E853F05EA6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3'!$O$21:$O$999</c:f>
              <c:numCache>
                <c:formatCode>General</c:formatCode>
                <c:ptCount val="979"/>
                <c:pt idx="0">
                  <c:v>-5.1940022372663347E-3</c:v>
                </c:pt>
                <c:pt idx="1">
                  <c:v>3.2150977385943438E-3</c:v>
                </c:pt>
                <c:pt idx="2">
                  <c:v>5.0646842568388504E-3</c:v>
                </c:pt>
                <c:pt idx="3">
                  <c:v>7.2323251569968213E-3</c:v>
                </c:pt>
                <c:pt idx="4">
                  <c:v>8.9415092904326834E-3</c:v>
                </c:pt>
                <c:pt idx="5">
                  <c:v>2.7740385742133153E-2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93-433F-A513-E1E853F05EA6}"/>
            </c:ext>
          </c:extLst>
        </c:ser>
        <c:ser>
          <c:idx val="8"/>
          <c:order val="8"/>
          <c:tx>
            <c:strRef>
              <c:f>'Active 3'!$R$20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93-433F-A513-E1E853F05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73328"/>
        <c:axId val="1"/>
      </c:scatterChart>
      <c:valAx>
        <c:axId val="71767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73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5338345864661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D4C27F-0C3B-D5B2-4617-DEC11B837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F695D50-5A7E-7846-8429-0B2328CB6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AEB045E0-A582-DB88-B1EC-CB6004BB3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2" t="s">
        <v>57</v>
      </c>
      <c r="E1" t="s">
        <v>50</v>
      </c>
    </row>
    <row r="2" spans="1:7" x14ac:dyDescent="0.2">
      <c r="A2" t="s">
        <v>24</v>
      </c>
      <c r="B2" t="s">
        <v>51</v>
      </c>
      <c r="C2" s="30" t="s">
        <v>42</v>
      </c>
      <c r="D2" s="2" t="s">
        <v>52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53763.616999999998</v>
      </c>
      <c r="D7" s="29" t="s">
        <v>53</v>
      </c>
    </row>
    <row r="8" spans="1:7" x14ac:dyDescent="0.2">
      <c r="A8" t="s">
        <v>3</v>
      </c>
      <c r="C8" s="7">
        <v>0.39899099999999998</v>
      </c>
      <c r="D8" s="29" t="s">
        <v>53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5.5419485041018554E-3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-1.54976369447996E-6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60178.777152314811</v>
      </c>
    </row>
    <row r="15" spans="1:7" x14ac:dyDescent="0.2">
      <c r="A15" s="11" t="s">
        <v>17</v>
      </c>
      <c r="B15" s="9"/>
      <c r="C15" s="12">
        <f ca="1">(C7+C11)+(C8+C12)*INT(MAX(F21:F3533))</f>
        <v>59568.121063986277</v>
      </c>
      <c r="D15" s="13" t="s">
        <v>39</v>
      </c>
      <c r="E15" s="14">
        <f ca="1">ROUND(2*(E14-$C$7)/$C$8,0)/2+E13</f>
        <v>16079.5</v>
      </c>
    </row>
    <row r="16" spans="1:7" x14ac:dyDescent="0.2">
      <c r="A16" s="15" t="s">
        <v>4</v>
      </c>
      <c r="B16" s="9"/>
      <c r="C16" s="16">
        <f ca="1">+C8+C12</f>
        <v>0.3989894502363055</v>
      </c>
      <c r="D16" s="13" t="s">
        <v>40</v>
      </c>
      <c r="E16" s="23">
        <f ca="1">ROUND(2*(E14-$C$15)/$C$16,0)/2+E13</f>
        <v>1531.5</v>
      </c>
    </row>
    <row r="17" spans="1:19" ht="13.5" thickBot="1" x14ac:dyDescent="0.25">
      <c r="A17" s="13" t="s">
        <v>30</v>
      </c>
      <c r="B17" s="9"/>
      <c r="C17" s="9">
        <f>COUNT(C21:C2191)</f>
        <v>6</v>
      </c>
      <c r="D17" s="13" t="s">
        <v>34</v>
      </c>
      <c r="E17" s="17">
        <f ca="1">+$C$15+$C$16*E16-15018.5-$C$9/24</f>
        <v>45161.069240356512</v>
      </c>
    </row>
    <row r="18" spans="1:19" ht="14.25" thickTop="1" thickBot="1" x14ac:dyDescent="0.25">
      <c r="A18" s="15" t="s">
        <v>5</v>
      </c>
      <c r="B18" s="9"/>
      <c r="C18" s="18">
        <f ca="1">+C15</f>
        <v>59568.121063986277</v>
      </c>
      <c r="D18" s="19">
        <f ca="1">+C16</f>
        <v>0.3989894502363055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SQRT(SUM(S21:S50)/(COUNT(S21:S50)-1))</f>
        <v>3.8477412868757718E-3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53763.616999999998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5.5419485041018554E-3</v>
      </c>
      <c r="Q21" s="1">
        <f>+C21-15018.5</f>
        <v>38745.116999999998</v>
      </c>
      <c r="S21">
        <f ca="1">+(O21-G21)^2</f>
        <v>3.0713193222116796E-5</v>
      </c>
    </row>
    <row r="22" spans="1:19" x14ac:dyDescent="0.2">
      <c r="A22" s="32" t="s">
        <v>44</v>
      </c>
      <c r="B22" s="33" t="s">
        <v>45</v>
      </c>
      <c r="C22" s="32">
        <v>55245.668899999997</v>
      </c>
      <c r="D22" s="32">
        <v>6.9999999999999999E-4</v>
      </c>
      <c r="E22">
        <f>+(C22-C$7)/C$8</f>
        <v>3714.499575178384</v>
      </c>
      <c r="F22">
        <f>ROUND(2*E22,0)/2</f>
        <v>3714.5</v>
      </c>
      <c r="G22">
        <f>+C22-(C$7+F22*C$8)</f>
        <v>-1.6950000281212851E-4</v>
      </c>
      <c r="H22">
        <f>+G22</f>
        <v>-1.6950000281212851E-4</v>
      </c>
      <c r="O22">
        <f ca="1">+C$11+C$12*$F22</f>
        <v>-2.1464873904395582E-4</v>
      </c>
      <c r="Q22" s="1">
        <f>+C22-15018.5</f>
        <v>40227.168899999997</v>
      </c>
      <c r="S22">
        <f ca="1">+(O22-G22)^2</f>
        <v>2.0384083833311155E-9</v>
      </c>
    </row>
    <row r="23" spans="1:19" x14ac:dyDescent="0.2">
      <c r="A23" s="32" t="s">
        <v>46</v>
      </c>
      <c r="B23" s="33" t="s">
        <v>45</v>
      </c>
      <c r="C23" s="32">
        <v>55571.645799999998</v>
      </c>
      <c r="D23" s="32">
        <v>2.9999999999999997E-4</v>
      </c>
      <c r="E23">
        <f>+(C23-C$7)/C$8</f>
        <v>4531.5027156001015</v>
      </c>
      <c r="F23">
        <f>ROUND(2*E23,0)/2</f>
        <v>4531.5</v>
      </c>
      <c r="G23">
        <f>+C23-(C$7+F23*C$8)</f>
        <v>1.083499999367632E-3</v>
      </c>
      <c r="H23">
        <f>+G23</f>
        <v>1.083499999367632E-3</v>
      </c>
      <c r="O23">
        <f ca="1">+C$11+C$12*$F23</f>
        <v>-1.4808056774340836E-3</v>
      </c>
      <c r="Q23" s="1">
        <f>+C23-15018.5</f>
        <v>40553.145799999998</v>
      </c>
      <c r="S23">
        <f ca="1">+(O23-G23)^2</f>
        <v>6.5756636040775045E-6</v>
      </c>
    </row>
    <row r="24" spans="1:19" x14ac:dyDescent="0.2">
      <c r="A24" s="34" t="s">
        <v>47</v>
      </c>
      <c r="B24" s="35" t="s">
        <v>48</v>
      </c>
      <c r="C24" s="34">
        <v>55953.680699999997</v>
      </c>
      <c r="D24" s="34">
        <v>4.0000000000000002E-4</v>
      </c>
      <c r="E24">
        <f>+(C24-C$7)/C$8</f>
        <v>5489.0052657829347</v>
      </c>
      <c r="F24">
        <f>ROUND(2*E24,0)/2</f>
        <v>5489</v>
      </c>
      <c r="G24">
        <f>+C24-(C$7+F24*C$8)</f>
        <v>2.1009999982197769E-3</v>
      </c>
      <c r="H24">
        <f>+G24</f>
        <v>2.1009999982197769E-3</v>
      </c>
      <c r="O24">
        <f ca="1">+C$11+C$12*$F24</f>
        <v>-2.9647044148986453E-3</v>
      </c>
      <c r="Q24" s="1">
        <f>+C24-15018.5</f>
        <v>40935.180699999997</v>
      </c>
      <c r="S24">
        <f ca="1">+(O24-G24)^2</f>
        <v>2.5661361201087459E-5</v>
      </c>
    </row>
    <row r="25" spans="1:19" x14ac:dyDescent="0.2">
      <c r="A25" s="36" t="s">
        <v>49</v>
      </c>
      <c r="B25" s="37" t="s">
        <v>48</v>
      </c>
      <c r="C25" s="38">
        <v>56254.913699999997</v>
      </c>
      <c r="D25" s="38">
        <v>3.0000000000000003E-4</v>
      </c>
      <c r="E25">
        <f>+(C25-C$7)/C$8</f>
        <v>6243.9922203758961</v>
      </c>
      <c r="F25">
        <f>ROUND(2*E25,0)/2</f>
        <v>6244</v>
      </c>
      <c r="G25">
        <f>+C25-(C$7+F25*C$8)</f>
        <v>-3.1040000030770898E-3</v>
      </c>
      <c r="H25">
        <f>+G25</f>
        <v>-3.1040000030770898E-3</v>
      </c>
      <c r="O25">
        <f ca="1">+C$11+C$12*$F25</f>
        <v>-4.1347760042310146E-3</v>
      </c>
      <c r="Q25" s="1">
        <f>+C25-15018.5</f>
        <v>41236.413699999997</v>
      </c>
      <c r="S25">
        <f ca="1">+(O25-G25)^2</f>
        <v>1.062499164554876E-6</v>
      </c>
    </row>
    <row r="26" spans="1:19" x14ac:dyDescent="0.2">
      <c r="A26" s="39" t="s">
        <v>56</v>
      </c>
      <c r="B26" s="40" t="s">
        <v>48</v>
      </c>
      <c r="C26" s="41">
        <v>59568.117899999954</v>
      </c>
      <c r="D26" s="7"/>
      <c r="E26">
        <f>+(C26-C$7)/C$8</f>
        <v>14547.949452493805</v>
      </c>
      <c r="F26">
        <f>ROUND(2*E26,0)/2</f>
        <v>14548</v>
      </c>
      <c r="G26">
        <f>+C26-(C$7+F26*C$8)</f>
        <v>-2.0168000046396628E-2</v>
      </c>
      <c r="H26">
        <f>+G26</f>
        <v>-2.0168000046396628E-2</v>
      </c>
      <c r="O26">
        <f ca="1">+C$11+C$12*$F26</f>
        <v>-1.7004013723192601E-2</v>
      </c>
      <c r="Q26" s="1">
        <f>+C26-15018.5</f>
        <v>44549.617899999954</v>
      </c>
      <c r="S26">
        <f ca="1">+(O26-G26)^2</f>
        <v>1.0010809453422134E-5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selection activeCell="C9" sqref="C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2" t="s">
        <v>57</v>
      </c>
      <c r="E1" t="s">
        <v>50</v>
      </c>
    </row>
    <row r="2" spans="1:7" x14ac:dyDescent="0.2">
      <c r="A2" t="s">
        <v>24</v>
      </c>
      <c r="B2" t="s">
        <v>51</v>
      </c>
      <c r="C2" s="30" t="s">
        <v>42</v>
      </c>
      <c r="D2" s="2" t="s">
        <v>52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53763.616999999998</v>
      </c>
      <c r="D7" s="29" t="s">
        <v>54</v>
      </c>
    </row>
    <row r="8" spans="1:7" x14ac:dyDescent="0.2">
      <c r="A8" t="s">
        <v>3</v>
      </c>
      <c r="C8" s="7">
        <v>0.68772</v>
      </c>
      <c r="D8" s="29" t="s">
        <v>55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-2.3699414604536582E-2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1.8215590213930061E-5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60178.777152314811</v>
      </c>
    </row>
    <row r="15" spans="1:7" x14ac:dyDescent="0.2">
      <c r="A15" s="11" t="s">
        <v>17</v>
      </c>
      <c r="B15" s="9"/>
      <c r="C15" s="12">
        <f ca="1">(C7+C11)+(C8+C12)*INT(MAX(F21:F3533))</f>
        <v>59568.103840166805</v>
      </c>
      <c r="D15" s="13" t="s">
        <v>39</v>
      </c>
      <c r="E15" s="14">
        <f ca="1">ROUND(2*(E14-$C$7)/$C$8,0)/2+E13</f>
        <v>9329</v>
      </c>
    </row>
    <row r="16" spans="1:7" x14ac:dyDescent="0.2">
      <c r="A16" s="15" t="s">
        <v>4</v>
      </c>
      <c r="B16" s="9"/>
      <c r="C16" s="16">
        <f ca="1">+C8+C12</f>
        <v>0.68773821559021397</v>
      </c>
      <c r="D16" s="13" t="s">
        <v>40</v>
      </c>
      <c r="E16" s="23">
        <f ca="1">ROUND(2*(E14-$C$15)/$C$16,0)/2+E13</f>
        <v>889</v>
      </c>
    </row>
    <row r="17" spans="1:19" ht="13.5" thickBot="1" x14ac:dyDescent="0.25">
      <c r="A17" s="13" t="s">
        <v>30</v>
      </c>
      <c r="B17" s="9"/>
      <c r="C17" s="9">
        <f>COUNT(C21:C2191)</f>
        <v>6</v>
      </c>
      <c r="D17" s="13" t="s">
        <v>34</v>
      </c>
      <c r="E17" s="17">
        <f ca="1">+$C$15+$C$16*E16-15018.5-$C$9/24</f>
        <v>45161.39894715984</v>
      </c>
    </row>
    <row r="18" spans="1:19" ht="14.25" thickTop="1" thickBot="1" x14ac:dyDescent="0.25">
      <c r="A18" s="15" t="s">
        <v>5</v>
      </c>
      <c r="B18" s="9"/>
      <c r="C18" s="18">
        <f ca="1">+C15</f>
        <v>59568.103840166805</v>
      </c>
      <c r="D18" s="19">
        <f ca="1">+C16</f>
        <v>0.68773821559021397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SQRT(SUM(S21:S50)/(COUNT(S21:S50)-1))</f>
        <v>1.5730468187577576E-2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ToMcat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ToMcat</v>
      </c>
      <c r="C21" s="7">
        <f>C$7</f>
        <v>53763.616999999998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-2.3699414604536582E-2</v>
      </c>
      <c r="Q21" s="1">
        <f>+C21-15018.5</f>
        <v>38745.116999999998</v>
      </c>
      <c r="S21">
        <f ca="1">+(O21-G21)^2</f>
        <v>5.6166225259772181E-4</v>
      </c>
    </row>
    <row r="22" spans="1:19" x14ac:dyDescent="0.2">
      <c r="A22" s="32" t="s">
        <v>44</v>
      </c>
      <c r="B22" s="33" t="s">
        <v>45</v>
      </c>
      <c r="C22" s="32">
        <v>55245.668899999997</v>
      </c>
      <c r="D22" s="32">
        <v>6.9999999999999999E-4</v>
      </c>
      <c r="E22">
        <f>+(C22-C$7)/C$8</f>
        <v>2155.022247426276</v>
      </c>
      <c r="F22">
        <f>ROUND(2*E22,0)/2</f>
        <v>2155</v>
      </c>
      <c r="G22">
        <f>+C22-(C$7+F22*C$8)</f>
        <v>1.5299999999115244E-2</v>
      </c>
      <c r="H22">
        <f>+G22</f>
        <v>1.5299999999115244E-2</v>
      </c>
      <c r="O22">
        <f ca="1">+C$11+C$12*$F22</f>
        <v>1.5555182306482701E-2</v>
      </c>
      <c r="Q22" s="1">
        <f>+C22-15018.5</f>
        <v>40227.168899999997</v>
      </c>
      <c r="S22">
        <f ca="1">+(O22-G22)^2</f>
        <v>6.5118009993379562E-8</v>
      </c>
    </row>
    <row r="23" spans="1:19" x14ac:dyDescent="0.2">
      <c r="A23" s="32" t="s">
        <v>46</v>
      </c>
      <c r="B23" s="33" t="s">
        <v>45</v>
      </c>
      <c r="C23" s="32">
        <v>55571.645799999998</v>
      </c>
      <c r="D23" s="32">
        <v>2.9999999999999997E-4</v>
      </c>
      <c r="E23">
        <f>+(C23-C$7)/C$8</f>
        <v>2629.0187867155237</v>
      </c>
      <c r="F23">
        <f>ROUND(2*E23,0)/2</f>
        <v>2629</v>
      </c>
      <c r="G23">
        <f>+C23-(C$7+F23*C$8)</f>
        <v>1.292000000103144E-2</v>
      </c>
      <c r="H23">
        <f>+G23</f>
        <v>1.292000000103144E-2</v>
      </c>
      <c r="O23">
        <f ca="1">+C$11+C$12*$F23</f>
        <v>2.4189372067885552E-2</v>
      </c>
      <c r="Q23" s="1">
        <f>+C23-15018.5</f>
        <v>40553.145799999998</v>
      </c>
      <c r="S23">
        <f ca="1">+(O23-G23)^2</f>
        <v>1.2699874678119173E-4</v>
      </c>
    </row>
    <row r="24" spans="1:19" x14ac:dyDescent="0.2">
      <c r="A24" s="34" t="s">
        <v>47</v>
      </c>
      <c r="B24" s="35" t="s">
        <v>48</v>
      </c>
      <c r="C24" s="34">
        <v>55953.680699999997</v>
      </c>
      <c r="D24" s="34">
        <v>4.0000000000000002E-4</v>
      </c>
      <c r="E24">
        <f>+(C24-C$7)/C$8</f>
        <v>3184.5281509916808</v>
      </c>
      <c r="F24">
        <f>ROUND(2*E24,0)/2</f>
        <v>3184.5</v>
      </c>
      <c r="G24">
        <f>+C24-(C$7+F24*C$8)</f>
        <v>1.9359999998414423E-2</v>
      </c>
      <c r="H24">
        <f>+G24</f>
        <v>1.9359999998414423E-2</v>
      </c>
      <c r="O24">
        <f ca="1">+C$11+C$12*$F24</f>
        <v>3.4308132431723697E-2</v>
      </c>
      <c r="Q24" s="1">
        <f>+C24-15018.5</f>
        <v>40935.180699999997</v>
      </c>
      <c r="S24">
        <f ca="1">+(O24-G24)^2</f>
        <v>2.2344666324375262E-4</v>
      </c>
    </row>
    <row r="25" spans="1:19" x14ac:dyDescent="0.2">
      <c r="A25" s="36" t="s">
        <v>49</v>
      </c>
      <c r="B25" s="37" t="s">
        <v>48</v>
      </c>
      <c r="C25" s="38">
        <v>56254.913699999997</v>
      </c>
      <c r="D25" s="38">
        <v>3.0000000000000003E-4</v>
      </c>
      <c r="E25">
        <f>+(C25-C$7)/C$8</f>
        <v>3622.5450764846141</v>
      </c>
      <c r="F25">
        <f>ROUND(2*E25,0)/2</f>
        <v>3622.5</v>
      </c>
      <c r="G25">
        <f>+C25-(C$7+F25*C$8)</f>
        <v>3.0999999995401595E-2</v>
      </c>
      <c r="H25">
        <f>+G25</f>
        <v>3.0999999995401595E-2</v>
      </c>
      <c r="O25">
        <f ca="1">+C$11+C$12*$F25</f>
        <v>4.2286560945425065E-2</v>
      </c>
      <c r="Q25" s="1">
        <f>+C25-15018.5</f>
        <v>41236.413699999997</v>
      </c>
      <c r="S25">
        <f ca="1">+(O25-G25)^2</f>
        <v>1.273864580785947E-4</v>
      </c>
    </row>
    <row r="26" spans="1:19" x14ac:dyDescent="0.2">
      <c r="A26" s="39" t="s">
        <v>56</v>
      </c>
      <c r="B26" s="40" t="s">
        <v>48</v>
      </c>
      <c r="C26" s="41">
        <v>59568.117899999954</v>
      </c>
      <c r="D26" s="7"/>
      <c r="E26">
        <f>+(C26-C$7)/C$8</f>
        <v>8440.2095329493914</v>
      </c>
      <c r="F26">
        <f>ROUND(2*E26,0)/2</f>
        <v>8440</v>
      </c>
      <c r="G26">
        <f>+C26-(C$7+F26*C$8)</f>
        <v>0.14409999995405087</v>
      </c>
      <c r="H26">
        <f>+G26</f>
        <v>0.14409999995405087</v>
      </c>
      <c r="O26">
        <f ca="1">+C$11+C$12*$F26</f>
        <v>0.13004016680103314</v>
      </c>
      <c r="Q26" s="1">
        <f>+C26-15018.5</f>
        <v>44549.617899999954</v>
      </c>
      <c r="S26">
        <f ca="1">+(O26-G26)^2</f>
        <v>1.9767890829069652E-4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S6940"/>
  <sheetViews>
    <sheetView workbookViewId="0">
      <selection activeCell="C34" sqref="C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2" t="s">
        <v>57</v>
      </c>
      <c r="E1" t="s">
        <v>50</v>
      </c>
    </row>
    <row r="2" spans="1:7" x14ac:dyDescent="0.2">
      <c r="A2" t="s">
        <v>24</v>
      </c>
      <c r="B2" t="s">
        <v>51</v>
      </c>
      <c r="C2" s="30" t="s">
        <v>42</v>
      </c>
      <c r="D2" s="2" t="s">
        <v>52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53763.616999999998</v>
      </c>
      <c r="D7" s="29" t="s">
        <v>54</v>
      </c>
    </row>
    <row r="8" spans="1:7" x14ac:dyDescent="0.2">
      <c r="A8" t="s">
        <v>3</v>
      </c>
      <c r="C8" s="7">
        <v>0.2525</v>
      </c>
      <c r="D8" s="29" t="s">
        <v>55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-5.1940022372663347E-3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1.4326773960065897E-6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60178.777152314811</v>
      </c>
    </row>
    <row r="15" spans="1:7" x14ac:dyDescent="0.2">
      <c r="A15" s="11" t="s">
        <v>17</v>
      </c>
      <c r="B15" s="9"/>
      <c r="C15" s="12">
        <f ca="1">(C7+C11)+(C8+C12)*INT(MAX(F21:F3533))</f>
        <v>59568.114740385739</v>
      </c>
      <c r="D15" s="13" t="s">
        <v>39</v>
      </c>
      <c r="E15" s="14">
        <f ca="1">ROUND(2*(E14-$C$7)/$C$8,0)/2+E13</f>
        <v>25407.5</v>
      </c>
    </row>
    <row r="16" spans="1:7" x14ac:dyDescent="0.2">
      <c r="A16" s="15" t="s">
        <v>4</v>
      </c>
      <c r="B16" s="9"/>
      <c r="C16" s="16">
        <f ca="1">+C8+C12</f>
        <v>0.252501432677396</v>
      </c>
      <c r="D16" s="13" t="s">
        <v>40</v>
      </c>
      <c r="E16" s="23">
        <f ca="1">ROUND(2*(E14-$C$15)/$C$16,0)/2+E13</f>
        <v>2419.5</v>
      </c>
    </row>
    <row r="17" spans="1:19" ht="13.5" thickBot="1" x14ac:dyDescent="0.25">
      <c r="A17" s="13" t="s">
        <v>30</v>
      </c>
      <c r="B17" s="9"/>
      <c r="C17" s="9">
        <f>COUNT(C21:C2191)</f>
        <v>6</v>
      </c>
      <c r="D17" s="13" t="s">
        <v>34</v>
      </c>
      <c r="E17" s="17">
        <f ca="1">+$C$15+$C$16*E16-15018.5-$C$9/24</f>
        <v>45160.937790082033</v>
      </c>
    </row>
    <row r="18" spans="1:19" ht="14.25" thickTop="1" thickBot="1" x14ac:dyDescent="0.25">
      <c r="A18" s="15" t="s">
        <v>5</v>
      </c>
      <c r="B18" s="9"/>
      <c r="C18" s="18">
        <f ca="1">+C15</f>
        <v>59568.114740385739</v>
      </c>
      <c r="D18" s="19">
        <f ca="1">+C16</f>
        <v>0.252501432677396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SQRT(SUM(S21:S50)/(COUNT(S21:S50)-1))</f>
        <v>3.4839156450545321E-3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ToMcat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ToMcat</v>
      </c>
      <c r="C21" s="7">
        <f>C$7</f>
        <v>53763.616999999998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-5.1940022372663347E-3</v>
      </c>
      <c r="Q21" s="1">
        <f>+C21-15018.5</f>
        <v>38745.116999999998</v>
      </c>
      <c r="S21">
        <f ca="1">+(O21-G21)^2</f>
        <v>2.6977659240727691E-5</v>
      </c>
    </row>
    <row r="22" spans="1:19" x14ac:dyDescent="0.2">
      <c r="A22" s="32" t="s">
        <v>44</v>
      </c>
      <c r="B22" s="33" t="s">
        <v>45</v>
      </c>
      <c r="C22" s="32">
        <v>55245.668899999997</v>
      </c>
      <c r="D22" s="32">
        <v>6.9999999999999999E-4</v>
      </c>
      <c r="E22">
        <f>+(C22-C$7)/C$8</f>
        <v>5869.5124752475194</v>
      </c>
      <c r="F22">
        <f>ROUND(2*E22,0)/2</f>
        <v>5869.5</v>
      </c>
      <c r="G22">
        <f>+C22-(C$7+F22*C$8)</f>
        <v>3.1499999968218617E-3</v>
      </c>
      <c r="H22">
        <f>+G22</f>
        <v>3.1499999968218617E-3</v>
      </c>
      <c r="O22">
        <f ca="1">+C$11+C$12*$F22</f>
        <v>3.2150977385943438E-3</v>
      </c>
      <c r="Q22" s="1">
        <f>+C22-15018.5</f>
        <v>40227.168899999997</v>
      </c>
      <c r="S22">
        <f ca="1">+(O22-G22)^2</f>
        <v>4.2377159838767544E-9</v>
      </c>
    </row>
    <row r="23" spans="1:19" x14ac:dyDescent="0.2">
      <c r="A23" s="32" t="s">
        <v>46</v>
      </c>
      <c r="B23" s="33" t="s">
        <v>45</v>
      </c>
      <c r="C23" s="32">
        <v>55571.645799999998</v>
      </c>
      <c r="D23" s="32">
        <v>2.9999999999999997E-4</v>
      </c>
      <c r="E23">
        <f>+(C23-C$7)/C$8</f>
        <v>7160.5100990099008</v>
      </c>
      <c r="F23">
        <f>ROUND(2*E23,0)/2</f>
        <v>7160.5</v>
      </c>
      <c r="G23">
        <f>+C23-(C$7+F23*C$8)</f>
        <v>2.5499999974272214E-3</v>
      </c>
      <c r="H23">
        <f>+G23</f>
        <v>2.5499999974272214E-3</v>
      </c>
      <c r="O23">
        <f ca="1">+C$11+C$12*$F23</f>
        <v>5.0646842568388504E-3</v>
      </c>
      <c r="Q23" s="1">
        <f>+C23-15018.5</f>
        <v>40553.145799999998</v>
      </c>
      <c r="S23">
        <f ca="1">+(O23-G23)^2</f>
        <v>6.3236369245326131E-6</v>
      </c>
    </row>
    <row r="24" spans="1:19" x14ac:dyDescent="0.2">
      <c r="A24" s="34" t="s">
        <v>47</v>
      </c>
      <c r="B24" s="35" t="s">
        <v>48</v>
      </c>
      <c r="C24" s="34">
        <v>55953.680699999997</v>
      </c>
      <c r="D24" s="34">
        <v>4.0000000000000002E-4</v>
      </c>
      <c r="E24">
        <f>+(C24-C$7)/C$8</f>
        <v>8673.5196039603907</v>
      </c>
      <c r="F24">
        <f>ROUND(2*E24,0)/2</f>
        <v>8673.5</v>
      </c>
      <c r="G24">
        <f>+C24-(C$7+F24*C$8)</f>
        <v>4.9500000022817403E-3</v>
      </c>
      <c r="H24">
        <f>+G24</f>
        <v>4.9500000022817403E-3</v>
      </c>
      <c r="O24">
        <f ca="1">+C$11+C$12*$F24</f>
        <v>7.2323251569968213E-3</v>
      </c>
      <c r="Q24" s="1">
        <f>+C24-15018.5</f>
        <v>40935.180699999997</v>
      </c>
      <c r="S24">
        <f ca="1">+(O24-G24)^2</f>
        <v>5.2090081118452185E-6</v>
      </c>
    </row>
    <row r="25" spans="1:19" x14ac:dyDescent="0.2">
      <c r="A25" s="36" t="s">
        <v>49</v>
      </c>
      <c r="B25" s="37" t="s">
        <v>48</v>
      </c>
      <c r="C25" s="38">
        <v>56254.913699999997</v>
      </c>
      <c r="D25" s="38">
        <v>3.0000000000000003E-4</v>
      </c>
      <c r="E25">
        <f>+(C25-C$7)/C$8</f>
        <v>9866.5215841584122</v>
      </c>
      <c r="F25">
        <f>ROUND(2*E25,0)/2</f>
        <v>9866.5</v>
      </c>
      <c r="G25">
        <f>+C25-(C$7+F25*C$8)</f>
        <v>5.4499999969266355E-3</v>
      </c>
      <c r="H25">
        <f>+G25</f>
        <v>5.4499999969266355E-3</v>
      </c>
      <c r="O25">
        <f ca="1">+C$11+C$12*$F25</f>
        <v>8.9415092904326834E-3</v>
      </c>
      <c r="Q25" s="1">
        <f>+C25-15018.5</f>
        <v>41236.413699999997</v>
      </c>
      <c r="S25">
        <f ca="1">+(O25-G25)^2</f>
        <v>1.2190637146639102E-5</v>
      </c>
    </row>
    <row r="26" spans="1:19" x14ac:dyDescent="0.2">
      <c r="A26" s="39" t="s">
        <v>56</v>
      </c>
      <c r="B26" s="40" t="s">
        <v>48</v>
      </c>
      <c r="C26" s="41">
        <v>59568.117899999954</v>
      </c>
      <c r="D26" s="7"/>
      <c r="E26">
        <f>+(C26-C$7)/C$8</f>
        <v>22988.122376237447</v>
      </c>
      <c r="F26">
        <f>ROUND(2*E26,0)/2</f>
        <v>22988</v>
      </c>
      <c r="G26">
        <f>+C26-(C$7+F26*C$8)</f>
        <v>3.0899999954272062E-2</v>
      </c>
      <c r="H26">
        <f>+G26</f>
        <v>3.0899999954272062E-2</v>
      </c>
      <c r="O26">
        <f ca="1">+C$11+C$12*$F26</f>
        <v>2.7740385742133153E-2</v>
      </c>
      <c r="Q26" s="1">
        <f>+C26-15018.5</f>
        <v>44549.617899999954</v>
      </c>
      <c r="S26">
        <f ca="1">+(O26-G26)^2</f>
        <v>9.9831619695501775E-6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Active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2023-08-22T06:39:06Z</dcterms:modified>
</cp:coreProperties>
</file>