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820A0BA-FD40-4D5A-83F6-57CDD0389E3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Q21" i="1"/>
  <c r="Q23" i="1"/>
  <c r="C8" i="1"/>
  <c r="E22" i="1"/>
  <c r="F22" i="1"/>
  <c r="G22" i="1"/>
  <c r="I22" i="1"/>
  <c r="B2" i="1"/>
  <c r="A1" i="1"/>
  <c r="D9" i="1"/>
  <c r="E9" i="1"/>
  <c r="F16" i="1"/>
  <c r="F17" i="1" s="1"/>
  <c r="C17" i="1"/>
  <c r="Q22" i="1"/>
  <c r="E21" i="1"/>
  <c r="F21" i="1"/>
  <c r="G21" i="1"/>
  <c r="I21" i="1"/>
  <c r="C12" i="1"/>
  <c r="C11" i="1"/>
  <c r="O23" i="1" l="1"/>
  <c r="C15" i="1"/>
  <c r="F18" i="1" s="1"/>
  <c r="O21" i="1"/>
  <c r="O22" i="1"/>
  <c r="C16" i="1"/>
  <c r="D18" i="1" s="1"/>
  <c r="C18" i="1" l="1"/>
  <c r="F19" i="1"/>
</calcChain>
</file>

<file path=xl/sharedStrings.xml><?xml version="1.0" encoding="utf-8"?>
<sst xmlns="http://schemas.openxmlformats.org/spreadsheetml/2006/main" count="52" uniqueCount="48">
  <si>
    <t>JAVSO..44…26</t>
  </si>
  <si>
    <t>Kreiner Catalog 2004AcA....54..207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</si>
  <si>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</si>
  <si>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</si>
  <si>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</si>
  <si>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</si>
  <si>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</si>
  <si>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</si>
  <si>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</si>
  <si>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</si>
  <si>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</si>
  <si>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</si>
  <si>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</si>
  <si>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</si>
  <si>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</si>
  <si>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</si>
  <si>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</si>
  <si>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</si>
  <si>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</si>
  <si>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</si>
  <si>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</si>
  <si>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</si>
  <si>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</si>
  <si>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</si>
  <si>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</si>
  <si>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</si>
  <si>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</si>
  <si>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</si>
  <si>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</si>
  <si>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</si>
  <si>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</si>
  <si>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</si>
  <si>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</si>
  <si>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</si>
  <si>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</si>
  <si>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</si>
  <si>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</si>
  <si>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</si>
  <si>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</si>
  <si>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</si>
  <si>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</si>
  <si>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</si>
  <si>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</si>
  <si>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</si>
  <si>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MU Pav</t>
  </si>
  <si>
    <t>G9100-0399</t>
  </si>
  <si>
    <t>EA/SD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</si>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</sst>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7" fillId="25" borderId="5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Pav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21366</c:v>
                </c:pt>
                <c:pt idx="2">
                  <c:v>27823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96-4A95-ACB3-5A9F74C3E2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21366</c:v>
                </c:pt>
                <c:pt idx="2">
                  <c:v>27823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1.4141799998469651E-2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96-4A95-ACB3-5A9F74C3E29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21366</c:v>
                </c:pt>
                <c:pt idx="2">
                  <c:v>27823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96-4A95-ACB3-5A9F74C3E29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21366</c:v>
                </c:pt>
                <c:pt idx="2">
                  <c:v>27823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2.6092899999639485E-2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96-4A95-ACB3-5A9F74C3E29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21366</c:v>
                </c:pt>
                <c:pt idx="2">
                  <c:v>27823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96-4A95-ACB3-5A9F74C3E2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21366</c:v>
                </c:pt>
                <c:pt idx="2">
                  <c:v>27823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96-4A95-ACB3-5A9F74C3E2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21366</c:v>
                </c:pt>
                <c:pt idx="2">
                  <c:v>27823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96-4A95-ACB3-5A9F74C3E2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21366</c:v>
                </c:pt>
                <c:pt idx="2">
                  <c:v>27823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-8.3246864689047635E-4</c:v>
                </c:pt>
                <c:pt idx="1">
                  <c:v>1.7728879936898291E-2</c:v>
                </c:pt>
                <c:pt idx="2">
                  <c:v>2.3338288708101326E-2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96-4A95-ACB3-5A9F74C3E29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21366</c:v>
                </c:pt>
                <c:pt idx="2">
                  <c:v>27823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96-4A95-ACB3-5A9F74C3E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870112"/>
        <c:axId val="1"/>
      </c:scatterChart>
      <c:valAx>
        <c:axId val="54287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870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A137A15-7885-5E47-7EC8-703C70A22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A22" sqref="A22"/>
    </sheetView>
  </sheetViews>
  <sheetFormatPr defaultColWidth="10.28515625" defaultRowHeight="12.75" x14ac:dyDescent="0.2"/>
  <cols>
    <col min="1" max="1" width="17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tr">
        <f>F1&amp;" / GSC "&amp;RIGHT(I1,9)</f>
        <v>MU Pav / GSC 9100-0399</v>
      </c>
      <c r="F1" s="38" t="s">
        <v>44</v>
      </c>
      <c r="G1" s="31">
        <v>0</v>
      </c>
      <c r="H1" s="32"/>
      <c r="I1" s="39" t="s">
        <v>45</v>
      </c>
      <c r="J1" s="40" t="s">
        <v>44</v>
      </c>
      <c r="K1" s="41">
        <v>20.35229</v>
      </c>
      <c r="L1" s="34">
        <v>-61.032699999999998</v>
      </c>
      <c r="M1" s="35">
        <v>52500.074999999997</v>
      </c>
      <c r="N1" s="35">
        <v>0.73549770000000003</v>
      </c>
      <c r="O1" s="33" t="s">
        <v>46</v>
      </c>
      <c r="P1" s="42">
        <v>11.8</v>
      </c>
      <c r="Q1" s="42">
        <v>13.9</v>
      </c>
    </row>
    <row r="2" spans="1:17" x14ac:dyDescent="0.2">
      <c r="A2" t="s">
        <v>26</v>
      </c>
      <c r="B2" t="str">
        <f>O1</f>
        <v>EA/SD</v>
      </c>
      <c r="C2" s="30"/>
      <c r="D2" s="3"/>
    </row>
    <row r="3" spans="1:17" ht="13.5" thickBot="1" x14ac:dyDescent="0.25"/>
    <row r="4" spans="1:17" ht="14.25" thickTop="1" thickBot="1" x14ac:dyDescent="0.25">
      <c r="A4" s="5" t="s">
        <v>3</v>
      </c>
      <c r="C4" s="27">
        <v>36785.417000000001</v>
      </c>
      <c r="D4" s="28">
        <v>0.73604999999999998</v>
      </c>
    </row>
    <row r="5" spans="1:17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7" x14ac:dyDescent="0.2">
      <c r="A6" s="5" t="s">
        <v>4</v>
      </c>
    </row>
    <row r="7" spans="1:17" x14ac:dyDescent="0.2">
      <c r="A7" t="s">
        <v>5</v>
      </c>
      <c r="C7" s="46">
        <v>36785.417000000001</v>
      </c>
      <c r="D7" s="29" t="s">
        <v>47</v>
      </c>
    </row>
    <row r="8" spans="1:17" x14ac:dyDescent="0.2">
      <c r="A8" t="s">
        <v>6</v>
      </c>
      <c r="C8" s="46">
        <f>N1</f>
        <v>0.73549770000000003</v>
      </c>
      <c r="D8" s="29" t="s">
        <v>47</v>
      </c>
    </row>
    <row r="9" spans="1:17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7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7" x14ac:dyDescent="0.2">
      <c r="A11" s="10" t="s">
        <v>18</v>
      </c>
      <c r="B11" s="10"/>
      <c r="C11" s="21">
        <f ca="1">INTERCEPT(INDIRECT($E$9):G992,INDIRECT($D$9):F992)</f>
        <v>-8.3246864689047635E-4</v>
      </c>
      <c r="D11" s="3"/>
      <c r="E11" s="10"/>
    </row>
    <row r="12" spans="1:17" x14ac:dyDescent="0.2">
      <c r="A12" s="10" t="s">
        <v>19</v>
      </c>
      <c r="B12" s="10"/>
      <c r="C12" s="21">
        <f ca="1">SLOPE(INDIRECT($E$9):G992,INDIRECT($D$9):F992)</f>
        <v>8.6873296750860081E-7</v>
      </c>
      <c r="D12" s="3"/>
      <c r="E12" s="10"/>
    </row>
    <row r="13" spans="1:17" x14ac:dyDescent="0.2">
      <c r="A13" s="10" t="s">
        <v>21</v>
      </c>
      <c r="B13" s="10"/>
      <c r="C13" s="3" t="s">
        <v>16</v>
      </c>
    </row>
    <row r="14" spans="1:17" x14ac:dyDescent="0.2">
      <c r="A14" s="10"/>
      <c r="B14" s="10"/>
      <c r="C14" s="10"/>
    </row>
    <row r="15" spans="1:17" x14ac:dyDescent="0.2">
      <c r="A15" s="12" t="s">
        <v>20</v>
      </c>
      <c r="B15" s="10"/>
      <c r="C15" s="13">
        <f ca="1">(C7+C11)+(C8+C12)*INT(MAX(F21:F3533))</f>
        <v>57249.192845388709</v>
      </c>
      <c r="E15" s="14" t="s">
        <v>37</v>
      </c>
      <c r="F15" s="36">
        <v>1</v>
      </c>
    </row>
    <row r="16" spans="1:17" x14ac:dyDescent="0.2">
      <c r="A16" s="16" t="s">
        <v>7</v>
      </c>
      <c r="B16" s="10"/>
      <c r="C16" s="17">
        <f ca="1">+C8+C12</f>
        <v>0.73549856873296759</v>
      </c>
      <c r="E16" s="14" t="s">
        <v>33</v>
      </c>
      <c r="F16" s="37">
        <f ca="1">NOW()+15018.5+$C$5/24</f>
        <v>60326.589837615735</v>
      </c>
    </row>
    <row r="17" spans="1:21" ht="13.5" thickBot="1" x14ac:dyDescent="0.25">
      <c r="A17" s="14" t="s">
        <v>30</v>
      </c>
      <c r="B17" s="10"/>
      <c r="C17" s="10">
        <f>COUNT(C21:C2191)</f>
        <v>3</v>
      </c>
      <c r="E17" s="14" t="s">
        <v>38</v>
      </c>
      <c r="F17" s="15">
        <f ca="1">ROUND(2*(F16-$C$7)/$C$8,0)/2+F15</f>
        <v>32008</v>
      </c>
    </row>
    <row r="18" spans="1:21" ht="14.25" thickTop="1" thickBot="1" x14ac:dyDescent="0.25">
      <c r="A18" s="16" t="s">
        <v>8</v>
      </c>
      <c r="B18" s="10"/>
      <c r="C18" s="19">
        <f ca="1">+C15</f>
        <v>57249.192845388709</v>
      </c>
      <c r="D18" s="20">
        <f ca="1">+C16</f>
        <v>0.73549856873296759</v>
      </c>
      <c r="E18" s="14" t="s">
        <v>39</v>
      </c>
      <c r="F18" s="23">
        <f ca="1">ROUND(2*(F16-$C$15)/$C$16,0)/2+F15</f>
        <v>4185</v>
      </c>
    </row>
    <row r="19" spans="1:21" ht="13.5" thickTop="1" x14ac:dyDescent="0.2">
      <c r="E19" s="14" t="s">
        <v>34</v>
      </c>
      <c r="F19" s="18">
        <f ca="1">+$C$15+$C$16*F18-15018.5-$C$5/24</f>
        <v>45309.150188869513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47</v>
      </c>
      <c r="C21" s="8">
        <v>36785.417000000001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-8.3246864689047635E-4</v>
      </c>
      <c r="Q21" s="2">
        <f>+C21-15018.5</f>
        <v>21766.917000000001</v>
      </c>
    </row>
    <row r="22" spans="1:21" x14ac:dyDescent="0.2">
      <c r="A22" t="s">
        <v>1</v>
      </c>
      <c r="C22" s="8">
        <v>52500.074999999997</v>
      </c>
      <c r="D22" s="8" t="s">
        <v>16</v>
      </c>
      <c r="E22">
        <f>+(C22-C$7)/C$8</f>
        <v>21366.01922752443</v>
      </c>
      <c r="F22">
        <f>ROUND(2*E22,0)/2</f>
        <v>21366</v>
      </c>
      <c r="G22">
        <f>+C22-(C$7+F22*C$8)</f>
        <v>1.4141799998469651E-2</v>
      </c>
      <c r="I22">
        <f>+G22</f>
        <v>1.4141799998469651E-2</v>
      </c>
      <c r="O22">
        <f ca="1">+C$11+C$12*$F22</f>
        <v>1.7728879936898291E-2</v>
      </c>
      <c r="Q22" s="2">
        <f>+C22-15018.5</f>
        <v>37481.574999999997</v>
      </c>
    </row>
    <row r="23" spans="1:21" x14ac:dyDescent="0.2">
      <c r="A23" s="43" t="s">
        <v>0</v>
      </c>
      <c r="B23" s="44" t="s">
        <v>2</v>
      </c>
      <c r="C23" s="45">
        <v>57249.195599999999</v>
      </c>
      <c r="D23" s="45">
        <v>1E-4</v>
      </c>
      <c r="E23">
        <f>+(C23-C$7)/C$8</f>
        <v>27823.035476521542</v>
      </c>
      <c r="F23">
        <f>ROUND(2*E23,0)/2</f>
        <v>27823</v>
      </c>
      <c r="G23">
        <f>+C23-(C$7+F23*C$8)</f>
        <v>2.6092899999639485E-2</v>
      </c>
      <c r="K23">
        <f>+G23</f>
        <v>2.6092899999639485E-2</v>
      </c>
      <c r="O23">
        <f ca="1">+C$11+C$12*$F23</f>
        <v>2.3338288708101326E-2</v>
      </c>
      <c r="Q23" s="2">
        <f>+C23-15018.5</f>
        <v>42230.695599999999</v>
      </c>
    </row>
    <row r="24" spans="1:21" x14ac:dyDescent="0.2"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3560" r:id="rId1" display="http://vsolj.cetus-net.org/bulletin.html"/>
    <hyperlink ref="H63553" r:id="rId2" display="https://www.aavso.org/ejaavso"/>
    <hyperlink ref="AP419" r:id="rId3" display="http://cdsbib.u-strasbg.fr/cgi-bin/cdsbib?1990RMxAA..21..381G"/>
    <hyperlink ref="AP416" r:id="rId4" display="http://cdsbib.u-strasbg.fr/cgi-bin/cdsbib?1990RMxAA..21..381G"/>
    <hyperlink ref="AP418" r:id="rId5" display="http://cdsbib.u-strasbg.fr/cgi-bin/cdsbib?1990RMxAA..21..381G"/>
    <hyperlink ref="AP394" r:id="rId6" display="http://cdsbib.u-strasbg.fr/cgi-bin/cdsbib?1990RMxAA..21..381G"/>
    <hyperlink ref="I63560" r:id="rId7" display="http://vsolj.cetus-net.org/bulletin.html"/>
    <hyperlink ref="AQ555" r:id="rId8" display="http://cdsbib.u-strasbg.fr/cgi-bin/cdsbib?1990RMxAA..21..381G"/>
    <hyperlink ref="AQ2199" r:id="rId9" display="http://cdsbib.u-strasbg.fr/cgi-bin/cdsbib?1990RMxAA..21..381G"/>
    <hyperlink ref="AQ556" r:id="rId10" display="http://cdsbib.u-strasbg.fr/cgi-bin/cdsbib?1990RMxAA..21..381G"/>
    <hyperlink ref="H63557" r:id="rId11" display="https://www.aavso.org/ejaavso"/>
    <hyperlink ref="H1406" r:id="rId12" display="http://vsolj.cetus-net.org/bulletin.html"/>
    <hyperlink ref="AP4644" r:id="rId13" display="http://cdsbib.u-strasbg.fr/cgi-bin/cdsbib?1990RMxAA..21..381G"/>
    <hyperlink ref="AP4647" r:id="rId14" display="http://cdsbib.u-strasbg.fr/cgi-bin/cdsbib?1990RMxAA..21..381G"/>
    <hyperlink ref="AP4645" r:id="rId15" display="http://cdsbib.u-strasbg.fr/cgi-bin/cdsbib?1990RMxAA..21..381G"/>
    <hyperlink ref="AP4623" r:id="rId16" display="http://cdsbib.u-strasbg.fr/cgi-bin/cdsbib?1990RMxAA..21..381G"/>
    <hyperlink ref="I1406" r:id="rId17" display="http://vsolj.cetus-net.org/bulletin.html"/>
    <hyperlink ref="AQ4757" r:id="rId18" display="http://cdsbib.u-strasbg.fr/cgi-bin/cdsbib?1990RMxAA..21..381G"/>
    <hyperlink ref="AQ64837" r:id="rId19" display="http://cdsbib.u-strasbg.fr/cgi-bin/cdsbib?1990RMxAA..21..381G"/>
    <hyperlink ref="AQ475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2024-01-17T01:09:22Z</dcterms:modified>
</cp:coreProperties>
</file>