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2E5B8C-E0AE-43AE-968D-9290372D5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Q64" i="1"/>
  <c r="E63" i="1"/>
  <c r="F63" i="1" s="1"/>
  <c r="Q63" i="1"/>
  <c r="Q62" i="1"/>
  <c r="F16" i="1"/>
  <c r="F17" i="1" s="1"/>
  <c r="D9" i="1"/>
  <c r="C9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3" i="1"/>
  <c r="Q55" i="1"/>
  <c r="Q57" i="1"/>
  <c r="Q58" i="1"/>
  <c r="Q59" i="1"/>
  <c r="Q60" i="1"/>
  <c r="Q61" i="1"/>
  <c r="G51" i="2"/>
  <c r="C51" i="2"/>
  <c r="G50" i="2"/>
  <c r="C50" i="2"/>
  <c r="G49" i="2"/>
  <c r="C49" i="2"/>
  <c r="G48" i="2"/>
  <c r="C48" i="2"/>
  <c r="G47" i="2"/>
  <c r="C47" i="2"/>
  <c r="G19" i="2"/>
  <c r="C19" i="2"/>
  <c r="G46" i="2"/>
  <c r="C46" i="2"/>
  <c r="G18" i="2"/>
  <c r="C18" i="2"/>
  <c r="G45" i="2"/>
  <c r="C45" i="2"/>
  <c r="G17" i="2"/>
  <c r="C17" i="2"/>
  <c r="G16" i="2"/>
  <c r="C16" i="2"/>
  <c r="G15" i="2"/>
  <c r="C15" i="2"/>
  <c r="G14" i="2"/>
  <c r="C14" i="2"/>
  <c r="G13" i="2"/>
  <c r="C13" i="2"/>
  <c r="G12" i="2"/>
  <c r="C12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11" i="2"/>
  <c r="C11" i="2"/>
  <c r="G22" i="2"/>
  <c r="C22" i="2"/>
  <c r="G21" i="2"/>
  <c r="C21" i="2"/>
  <c r="G20" i="2"/>
  <c r="C20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9" i="2"/>
  <c r="B19" i="2"/>
  <c r="D19" i="2"/>
  <c r="A19" i="2"/>
  <c r="H46" i="2"/>
  <c r="B46" i="2"/>
  <c r="D46" i="2"/>
  <c r="A46" i="2"/>
  <c r="H18" i="2"/>
  <c r="B18" i="2"/>
  <c r="D18" i="2"/>
  <c r="A18" i="2"/>
  <c r="H45" i="2"/>
  <c r="B45" i="2"/>
  <c r="D45" i="2"/>
  <c r="A45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C17" i="1"/>
  <c r="Q47" i="1"/>
  <c r="Q48" i="1"/>
  <c r="Q49" i="1"/>
  <c r="Q50" i="1"/>
  <c r="Q51" i="1"/>
  <c r="Q52" i="1"/>
  <c r="Q54" i="1"/>
  <c r="Q56" i="1"/>
  <c r="C8" i="1"/>
  <c r="C7" i="1"/>
  <c r="E47" i="1"/>
  <c r="F47" i="1"/>
  <c r="Q24" i="1"/>
  <c r="E12" i="2"/>
  <c r="E11" i="2"/>
  <c r="E35" i="2"/>
  <c r="E37" i="1"/>
  <c r="F37" i="1"/>
  <c r="G37" i="1"/>
  <c r="E29" i="1"/>
  <c r="F29" i="1"/>
  <c r="G29" i="1"/>
  <c r="E21" i="1"/>
  <c r="F21" i="1"/>
  <c r="G21" i="1"/>
  <c r="G52" i="1"/>
  <c r="E46" i="1"/>
  <c r="F46" i="1"/>
  <c r="E60" i="1"/>
  <c r="F60" i="1"/>
  <c r="G60" i="1"/>
  <c r="E52" i="1"/>
  <c r="F52" i="1"/>
  <c r="E36" i="1"/>
  <c r="F36" i="1"/>
  <c r="H36" i="1"/>
  <c r="E28" i="1"/>
  <c r="F28" i="1"/>
  <c r="H28" i="1"/>
  <c r="E43" i="1"/>
  <c r="F43" i="1"/>
  <c r="H43" i="1"/>
  <c r="E57" i="1"/>
  <c r="F57" i="1"/>
  <c r="E49" i="1"/>
  <c r="F49" i="1"/>
  <c r="G49" i="1"/>
  <c r="E35" i="1"/>
  <c r="F35" i="1"/>
  <c r="H35" i="1"/>
  <c r="E27" i="1"/>
  <c r="F27" i="1"/>
  <c r="G27" i="1"/>
  <c r="E40" i="1"/>
  <c r="F40" i="1"/>
  <c r="G40" i="1"/>
  <c r="G24" i="1"/>
  <c r="E54" i="1"/>
  <c r="F54" i="1"/>
  <c r="I54" i="1"/>
  <c r="E34" i="1"/>
  <c r="F34" i="1"/>
  <c r="H34" i="1"/>
  <c r="E26" i="1"/>
  <c r="F26" i="1"/>
  <c r="H26" i="1"/>
  <c r="G57" i="1"/>
  <c r="E45" i="1"/>
  <c r="F45" i="1"/>
  <c r="G45" i="1"/>
  <c r="E59" i="1"/>
  <c r="F59" i="1"/>
  <c r="G59" i="1"/>
  <c r="E51" i="1"/>
  <c r="F51" i="1"/>
  <c r="I51" i="1"/>
  <c r="H40" i="1"/>
  <c r="E33" i="1"/>
  <c r="F33" i="1"/>
  <c r="H33" i="1"/>
  <c r="E25" i="1"/>
  <c r="F25" i="1"/>
  <c r="G25" i="1"/>
  <c r="G56" i="1"/>
  <c r="G44" i="1"/>
  <c r="E42" i="1"/>
  <c r="F42" i="1"/>
  <c r="G42" i="1"/>
  <c r="G35" i="1"/>
  <c r="E56" i="1"/>
  <c r="F56" i="1"/>
  <c r="I56" i="1"/>
  <c r="I50" i="1"/>
  <c r="E48" i="1"/>
  <c r="F48" i="1"/>
  <c r="G48" i="1"/>
  <c r="H39" i="1"/>
  <c r="E32" i="1"/>
  <c r="F32" i="1"/>
  <c r="H32" i="1"/>
  <c r="E24" i="1"/>
  <c r="F24" i="1"/>
  <c r="G61" i="1"/>
  <c r="G47" i="1"/>
  <c r="E39" i="1"/>
  <c r="F39" i="1"/>
  <c r="G39" i="1"/>
  <c r="E62" i="1"/>
  <c r="F62" i="1"/>
  <c r="K62" i="1"/>
  <c r="E53" i="1"/>
  <c r="F53" i="1"/>
  <c r="I53" i="1"/>
  <c r="H47" i="1"/>
  <c r="H46" i="1"/>
  <c r="H21" i="1"/>
  <c r="E31" i="1"/>
  <c r="F31" i="1"/>
  <c r="G31" i="1"/>
  <c r="E23" i="1"/>
  <c r="F23" i="1"/>
  <c r="H23" i="1"/>
  <c r="G54" i="1"/>
  <c r="G46" i="1"/>
  <c r="E44" i="1"/>
  <c r="F44" i="1"/>
  <c r="H44" i="1"/>
  <c r="G26" i="1"/>
  <c r="I60" i="1"/>
  <c r="E58" i="1"/>
  <c r="F58" i="1"/>
  <c r="G58" i="1"/>
  <c r="I52" i="1"/>
  <c r="E50" i="1"/>
  <c r="F50" i="1"/>
  <c r="G50" i="1"/>
  <c r="H45" i="1"/>
  <c r="H37" i="1"/>
  <c r="H29" i="1"/>
  <c r="E38" i="1"/>
  <c r="F38" i="1"/>
  <c r="H38" i="1"/>
  <c r="E30" i="1"/>
  <c r="F30" i="1"/>
  <c r="H30" i="1"/>
  <c r="E22" i="1"/>
  <c r="F22" i="1"/>
  <c r="G22" i="1"/>
  <c r="E61" i="1"/>
  <c r="F61" i="1"/>
  <c r="K61" i="1"/>
  <c r="G43" i="1"/>
  <c r="E41" i="1"/>
  <c r="F41" i="1"/>
  <c r="H41" i="1"/>
  <c r="I57" i="1"/>
  <c r="E55" i="1"/>
  <c r="F55" i="1"/>
  <c r="G55" i="1"/>
  <c r="H49" i="1"/>
  <c r="I59" i="1"/>
  <c r="G23" i="1"/>
  <c r="G62" i="1"/>
  <c r="H25" i="1"/>
  <c r="G28" i="1"/>
  <c r="G33" i="1"/>
  <c r="E27" i="2"/>
  <c r="E14" i="2"/>
  <c r="E41" i="2"/>
  <c r="E29" i="2"/>
  <c r="E16" i="2"/>
  <c r="I55" i="1"/>
  <c r="I58" i="1"/>
  <c r="H27" i="1"/>
  <c r="E46" i="2"/>
  <c r="G30" i="1"/>
  <c r="H22" i="1"/>
  <c r="G34" i="1"/>
  <c r="H31" i="1"/>
  <c r="G32" i="1"/>
  <c r="E22" i="2"/>
  <c r="E42" i="2"/>
  <c r="E36" i="2"/>
  <c r="E48" i="2"/>
  <c r="E32" i="2"/>
  <c r="G53" i="1"/>
  <c r="G38" i="1"/>
  <c r="G41" i="1"/>
  <c r="G36" i="1"/>
  <c r="G51" i="1"/>
  <c r="E19" i="2"/>
  <c r="E30" i="2"/>
  <c r="E23" i="2"/>
  <c r="E44" i="2"/>
  <c r="E45" i="2"/>
  <c r="E21" i="2"/>
  <c r="H48" i="1"/>
  <c r="H42" i="1"/>
  <c r="E15" i="2"/>
  <c r="E24" i="2"/>
  <c r="E26" i="2"/>
  <c r="E49" i="2"/>
  <c r="E47" i="2"/>
  <c r="E43" i="2"/>
  <c r="E20" i="2"/>
  <c r="E50" i="2"/>
  <c r="E18" i="2"/>
  <c r="E33" i="2"/>
  <c r="E17" i="2"/>
  <c r="E37" i="2"/>
  <c r="E31" i="2"/>
  <c r="E13" i="2"/>
  <c r="E39" i="2"/>
  <c r="E28" i="2"/>
  <c r="E38" i="2"/>
  <c r="E25" i="2"/>
  <c r="E51" i="2"/>
  <c r="E40" i="2"/>
  <c r="E34" i="2"/>
  <c r="G64" i="1" l="1"/>
  <c r="K64" i="1"/>
  <c r="G63" i="1"/>
  <c r="K63" i="1"/>
  <c r="C11" i="1"/>
  <c r="C12" i="1"/>
  <c r="O64" i="1" l="1"/>
  <c r="C16" i="1"/>
  <c r="D18" i="1" s="1"/>
  <c r="O63" i="1"/>
  <c r="O27" i="1"/>
  <c r="O34" i="1"/>
  <c r="O50" i="1"/>
  <c r="O26" i="1"/>
  <c r="O29" i="1"/>
  <c r="O24" i="1"/>
  <c r="O40" i="1"/>
  <c r="O49" i="1"/>
  <c r="O22" i="1"/>
  <c r="O57" i="1"/>
  <c r="O36" i="1"/>
  <c r="O21" i="1"/>
  <c r="O59" i="1"/>
  <c r="O53" i="1"/>
  <c r="O37" i="1"/>
  <c r="O55" i="1"/>
  <c r="O52" i="1"/>
  <c r="O42" i="1"/>
  <c r="O25" i="1"/>
  <c r="O48" i="1"/>
  <c r="O28" i="1"/>
  <c r="O30" i="1"/>
  <c r="O61" i="1"/>
  <c r="O44" i="1"/>
  <c r="O31" i="1"/>
  <c r="O56" i="1"/>
  <c r="O43" i="1"/>
  <c r="O60" i="1"/>
  <c r="O54" i="1"/>
  <c r="O62" i="1"/>
  <c r="O23" i="1"/>
  <c r="O38" i="1"/>
  <c r="O51" i="1"/>
  <c r="O58" i="1"/>
  <c r="O32" i="1"/>
  <c r="O39" i="1"/>
  <c r="O45" i="1"/>
  <c r="O41" i="1"/>
  <c r="O33" i="1"/>
  <c r="O35" i="1"/>
  <c r="C15" i="1"/>
  <c r="O46" i="1"/>
  <c r="O47" i="1"/>
  <c r="F18" i="1" l="1"/>
  <c r="F19" i="1" s="1"/>
  <c r="C18" i="1"/>
</calcChain>
</file>

<file path=xl/sharedStrings.xml><?xml version="1.0" encoding="utf-8"?>
<sst xmlns="http://schemas.openxmlformats.org/spreadsheetml/2006/main" count="440" uniqueCount="232">
  <si>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</si>
  <si>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</si>
  <si>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</si>
  <si>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</si>
  <si>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</si>
  <si>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</si>
  <si>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</si>
  <si>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</si>
  <si>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</si>
  <si>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</si>
  <si>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</si>
  <si>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</si>
  <si>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</si>
  <si>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</si>
  <si>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</si>
  <si>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</si>
  <si>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</si>
  <si>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</si>
  <si>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</si>
  <si>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</si>
  <si>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</si>
  <si>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</si>
  <si>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</si>
  <si>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</si>
  <si>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</si>
  <si>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</si>
  <si>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</si>
  <si>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</si>
  <si>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</si>
  <si>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</si>
  <si>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HBZ 89</t>
  </si>
  <si>
    <t>K</t>
  </si>
  <si>
    <t>BAV-M 52</t>
  </si>
  <si>
    <t>BAAVSS 59,16</t>
  </si>
  <si>
    <t>BAAVSS 60,15</t>
  </si>
  <si>
    <t>pg</t>
  </si>
  <si>
    <t>BAV-M 38</t>
  </si>
  <si>
    <t>B</t>
  </si>
  <si>
    <t>BAV-M 93</t>
  </si>
  <si>
    <t>BBSAG Bull.83</t>
  </si>
  <si>
    <t>Locher</t>
  </si>
  <si>
    <t># of data points:</t>
  </si>
  <si>
    <t>EA/DS:</t>
  </si>
  <si>
    <t>AY Per / GSC 03322-00233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</si>
  <si>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</si>
  <si>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</si>
  <si>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</si>
  <si>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</si>
  <si>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</si>
  <si>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</si>
  <si>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</si>
  <si>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</si>
  <si>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</si>
  <si>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</si>
  <si>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</si>
  <si>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2425303.288 </t>
  </si>
  <si>
    <t> 26.02.1928 18:54 </t>
  </si>
  <si>
    <t> -0.030 </t>
  </si>
  <si>
    <t>P </t>
  </si>
  <si>
    <t> K.Löchel </t>
  </si>
  <si>
    <t> MVS 496 </t>
  </si>
  <si>
    <t>2425503.51 </t>
  </si>
  <si>
    <t> 14.09.1928 00:14 </t>
  </si>
  <si>
    <t> -0.01 </t>
  </si>
  <si>
    <t> P.Guthnick </t>
  </si>
  <si>
    <t> AN 235.83 </t>
  </si>
  <si>
    <t>2425880.42 </t>
  </si>
  <si>
    <t> 25.09.1929 22:04 </t>
  </si>
  <si>
    <t> 0.05 </t>
  </si>
  <si>
    <t>V </t>
  </si>
  <si>
    <t> M.Beyer </t>
  </si>
  <si>
    <t> AN 254.325 </t>
  </si>
  <si>
    <t>2427152.25 </t>
  </si>
  <si>
    <t> 20.03.1933 18:00 </t>
  </si>
  <si>
    <t> 0.00 </t>
  </si>
  <si>
    <t>2427717.55 </t>
  </si>
  <si>
    <t> 07.10.1934 01:12 </t>
  </si>
  <si>
    <t> 0.02 </t>
  </si>
  <si>
    <t>2427776.428 </t>
  </si>
  <si>
    <t> 04.12.1934 22:16 </t>
  </si>
  <si>
    <t> 0.016 </t>
  </si>
  <si>
    <t> F.Lause </t>
  </si>
  <si>
    <t> AN 260.293 </t>
  </si>
  <si>
    <t>2428023.722 </t>
  </si>
  <si>
    <t> 09.08.1935 05:19 </t>
  </si>
  <si>
    <t> 0.001 </t>
  </si>
  <si>
    <t>2428035.509 </t>
  </si>
  <si>
    <t> 21.08.1935 00:12 </t>
  </si>
  <si>
    <t> 0.011 </t>
  </si>
  <si>
    <t>2428106.163 </t>
  </si>
  <si>
    <t> 30.10.1935 15:54 </t>
  </si>
  <si>
    <t> 0.005 </t>
  </si>
  <si>
    <t>2428153.278 </t>
  </si>
  <si>
    <t> 16.12.1935 18:40 </t>
  </si>
  <si>
    <t> 0.014 </t>
  </si>
  <si>
    <t>2428212.136 </t>
  </si>
  <si>
    <t> 13.02.1936 15:15 </t>
  </si>
  <si>
    <t> -0.012 </t>
  </si>
  <si>
    <t>2428247.455 </t>
  </si>
  <si>
    <t> 19.03.1936 22:55 </t>
  </si>
  <si>
    <t> -0.023 </t>
  </si>
  <si>
    <t>2428565.313 </t>
  </si>
  <si>
    <t> 31.01.1937 19:30 </t>
  </si>
  <si>
    <t> -0.134 </t>
  </si>
  <si>
    <t>2429978.510 </t>
  </si>
  <si>
    <t> 15.12.1940 00:14 </t>
  </si>
  <si>
    <t> S.Gaposchkin </t>
  </si>
  <si>
    <t> HA 113.76 </t>
  </si>
  <si>
    <t>2430367.294 </t>
  </si>
  <si>
    <t> 07.01.1942 19:03 </t>
  </si>
  <si>
    <t> 0.021 </t>
  </si>
  <si>
    <t>2430614.553 </t>
  </si>
  <si>
    <t> 12.09.1942 01:16 </t>
  </si>
  <si>
    <t> -0.029 </t>
  </si>
  <si>
    <t>2430697.114 </t>
  </si>
  <si>
    <t> 03.12.1942 14:44 </t>
  </si>
  <si>
    <t> 0.095 </t>
  </si>
  <si>
    <t> A.Soloviev </t>
  </si>
  <si>
    <t> AC 39.4 </t>
  </si>
  <si>
    <t>2430991.464 </t>
  </si>
  <si>
    <t> 23.09.1943 23:08 </t>
  </si>
  <si>
    <t> 0.029 </t>
  </si>
  <si>
    <t>2431003.309 </t>
  </si>
  <si>
    <t> 05.10.1943 19:24 </t>
  </si>
  <si>
    <t> 0.098 </t>
  </si>
  <si>
    <t>2433570.420 </t>
  </si>
  <si>
    <t> 15.10.1950 22:04 </t>
  </si>
  <si>
    <t> -0.099 </t>
  </si>
  <si>
    <t>2435019.16 </t>
  </si>
  <si>
    <t> 03.10.1954 15:50 </t>
  </si>
  <si>
    <t> 0.11 </t>
  </si>
  <si>
    <t> R.Szafraniec </t>
  </si>
  <si>
    <t> AAC 5.195 </t>
  </si>
  <si>
    <t>2436526.543 </t>
  </si>
  <si>
    <t> 19.11.1958 01:01 </t>
  </si>
  <si>
    <t> 0.088 </t>
  </si>
  <si>
    <t>2436608.571 </t>
  </si>
  <si>
    <t> 09.02.1959 01:42 </t>
  </si>
  <si>
    <t> -0.321 </t>
  </si>
  <si>
    <t>2436903.551 </t>
  </si>
  <si>
    <t> 01.12.1959 01:13 </t>
  </si>
  <si>
    <t> 0.243 </t>
  </si>
  <si>
    <t>2437409.58 </t>
  </si>
  <si>
    <t> 20.04.1961 01:55 </t>
  </si>
  <si>
    <t> -0.12 </t>
  </si>
  <si>
    <t> O.N.Deinitchenko </t>
  </si>
  <si>
    <t> PZ 17.451 </t>
  </si>
  <si>
    <t>2439058.350 </t>
  </si>
  <si>
    <t> 24.10.1965 20:24 </t>
  </si>
  <si>
    <t> -0.083 </t>
  </si>
  <si>
    <t> K.Häussler </t>
  </si>
  <si>
    <t> HABZ 89 </t>
  </si>
  <si>
    <t>2440483.433 </t>
  </si>
  <si>
    <t> 18.09.1969 22:23 </t>
  </si>
  <si>
    <t> 0.027 </t>
  </si>
  <si>
    <t>2441602.262 </t>
  </si>
  <si>
    <t> 11.10.1972 18:17 </t>
  </si>
  <si>
    <t> 0.075 </t>
  </si>
  <si>
    <t>2444169.464 </t>
  </si>
  <si>
    <t> 22.10.1979 23:08 </t>
  </si>
  <si>
    <t> -0.031 </t>
  </si>
  <si>
    <t> D.Lichtenknecker </t>
  </si>
  <si>
    <t>BAVM 32 </t>
  </si>
  <si>
    <t>2444970.342 </t>
  </si>
  <si>
    <t> 31.12.1981 20:12 </t>
  </si>
  <si>
    <t> 0.036 </t>
  </si>
  <si>
    <t> T.Brelstaff </t>
  </si>
  <si>
    <t> VSSC 59.19 </t>
  </si>
  <si>
    <t>2445170.460 </t>
  </si>
  <si>
    <t> 19.07.1982 23:02 </t>
  </si>
  <si>
    <t> -0.049 </t>
  </si>
  <si>
    <t> VSSC 60.22 </t>
  </si>
  <si>
    <t>2445641.511 </t>
  </si>
  <si>
    <t> 03.11.1983 00:15 </t>
  </si>
  <si>
    <t> -0.064 </t>
  </si>
  <si>
    <t> P.Frank </t>
  </si>
  <si>
    <t>BAVM 38 </t>
  </si>
  <si>
    <t>2446383.437 </t>
  </si>
  <si>
    <t> 13.11.1985 22:29 </t>
  </si>
  <si>
    <t> -0.066 </t>
  </si>
  <si>
    <t> VSSC 68.33 </t>
  </si>
  <si>
    <t>2446866.284 </t>
  </si>
  <si>
    <t> 11.03.1987 18:48 </t>
  </si>
  <si>
    <t> -0.061 </t>
  </si>
  <si>
    <t> K.Locher </t>
  </si>
  <si>
    <t> BBS 83 </t>
  </si>
  <si>
    <t>2447761.323 </t>
  </si>
  <si>
    <t> 22.08.1989 19:45 </t>
  </si>
  <si>
    <t> -0.047 </t>
  </si>
  <si>
    <t> VSSC 73 </t>
  </si>
  <si>
    <t>2449810.467 </t>
  </si>
  <si>
    <t> 02.04.1995 23:12 </t>
  </si>
  <si>
    <t> -0.038 </t>
  </si>
  <si>
    <t> J.Gensler </t>
  </si>
  <si>
    <t>BAVM 93 </t>
  </si>
  <si>
    <t>2451176.47 </t>
  </si>
  <si>
    <t> 28.12.1998 23:16 </t>
  </si>
  <si>
    <t> -0.13 </t>
  </si>
  <si>
    <t> R.Meyer </t>
  </si>
  <si>
    <t>BAVM 122 </t>
  </si>
  <si>
    <t>2451459.130 </t>
  </si>
  <si>
    <t> 07.10.1999 15:07 </t>
  </si>
  <si>
    <t> -0.105 </t>
  </si>
  <si>
    <t>BAVM 131 </t>
  </si>
  <si>
    <t>2452542.435 </t>
  </si>
  <si>
    <t> 24.09.2002 22:26 </t>
  </si>
  <si>
    <t> -0.251 </t>
  </si>
  <si>
    <t> W.Braune </t>
  </si>
  <si>
    <t>BAVM 157 </t>
  </si>
  <si>
    <t>2453661.354 </t>
  </si>
  <si>
    <t> 17.10.2005 20:29 </t>
  </si>
  <si>
    <t> -0.113 </t>
  </si>
  <si>
    <t>BAVM 192 </t>
  </si>
  <si>
    <t>2455498.5248 </t>
  </si>
  <si>
    <t> 29.10.2010 00:35 </t>
  </si>
  <si>
    <t> -0.0977 </t>
  </si>
  <si>
    <t>C </t>
  </si>
  <si>
    <t>o</t>
  </si>
  <si>
    <t> U.Schmidt </t>
  </si>
  <si>
    <t>BAVM 215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</si>
  <si>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</si>
  <si>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</si>
  <si>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</si>
  <si>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</si>
  <si>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</si>
  <si>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</si>
  <si>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</si>
  <si>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</si>
  <si>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</si>
  <si>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6196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</si>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</sst>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3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Per - O-C Diagr.</a:t>
            </a:r>
          </a:p>
        </c:rich>
      </c:tx>
      <c:layout>
        <c:manualLayout>
          <c:xMode val="edge"/>
          <c:yMode val="edge"/>
          <c:x val="0.36513761467889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5412844036698"/>
          <c:y val="0.15"/>
          <c:w val="0.8036697247706422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-2.952000000004773E-2</c:v>
                </c:pt>
                <c:pt idx="1">
                  <c:v>-1.0400000002846355E-2</c:v>
                </c:pt>
                <c:pt idx="2">
                  <c:v>4.7119999999267748E-2</c:v>
                </c:pt>
                <c:pt idx="3">
                  <c:v>0</c:v>
                </c:pt>
                <c:pt idx="4">
                  <c:v>2.1280000000842847E-2</c:v>
                </c:pt>
                <c:pt idx="5">
                  <c:v>1.6080000001238659E-2</c:v>
                </c:pt>
                <c:pt idx="6">
                  <c:v>6.4000000202213414E-4</c:v>
                </c:pt>
                <c:pt idx="7">
                  <c:v>1.0999999998603016E-2</c:v>
                </c:pt>
                <c:pt idx="8">
                  <c:v>5.1600000006146729E-3</c:v>
                </c:pt>
                <c:pt idx="9">
                  <c:v>1.359999999840511E-2</c:v>
                </c:pt>
                <c:pt idx="10">
                  <c:v>-1.1600000001635635E-2</c:v>
                </c:pt>
                <c:pt idx="11">
                  <c:v>-2.2519999998621643E-2</c:v>
                </c:pt>
                <c:pt idx="12">
                  <c:v>-0.13380000000324799</c:v>
                </c:pt>
                <c:pt idx="13">
                  <c:v>-0.13360000000102445</c:v>
                </c:pt>
                <c:pt idx="14">
                  <c:v>2.1280000000842847E-2</c:v>
                </c:pt>
                <c:pt idx="15">
                  <c:v>-2.9159999998228159E-2</c:v>
                </c:pt>
                <c:pt idx="16">
                  <c:v>9.5359999999345746E-2</c:v>
                </c:pt>
                <c:pt idx="17">
                  <c:v>2.9360000000451691E-2</c:v>
                </c:pt>
                <c:pt idx="18">
                  <c:v>9.7720000001572771E-2</c:v>
                </c:pt>
                <c:pt idx="19">
                  <c:v>-9.8799999999755528E-2</c:v>
                </c:pt>
                <c:pt idx="20">
                  <c:v>0.11448000000382308</c:v>
                </c:pt>
                <c:pt idx="21">
                  <c:v>8.7559999999939464E-2</c:v>
                </c:pt>
                <c:pt idx="22">
                  <c:v>-0.32091999999829568</c:v>
                </c:pt>
                <c:pt idx="23">
                  <c:v>0.24308000000019092</c:v>
                </c:pt>
                <c:pt idx="24">
                  <c:v>-0.12343999999575317</c:v>
                </c:pt>
                <c:pt idx="25">
                  <c:v>-8.3040000004984904E-2</c:v>
                </c:pt>
                <c:pt idx="26">
                  <c:v>2.651999999943655E-2</c:v>
                </c:pt>
                <c:pt idx="27">
                  <c:v>7.4720000004163012E-2</c:v>
                </c:pt>
                <c:pt idx="28">
                  <c:v>-3.080000000045402E-2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F-4E05-8806-0D578AF85F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9">
                  <c:v>3.5679999993590172E-2</c:v>
                </c:pt>
                <c:pt idx="30">
                  <c:v>-4.920000000129221E-2</c:v>
                </c:pt>
                <c:pt idx="31">
                  <c:v>-6.3800000003539026E-2</c:v>
                </c:pt>
                <c:pt idx="32">
                  <c:v>-6.6120000003138557E-2</c:v>
                </c:pt>
                <c:pt idx="33">
                  <c:v>-6.1359999999694992E-2</c:v>
                </c:pt>
                <c:pt idx="34">
                  <c:v>-4.6999999998661224E-2</c:v>
                </c:pt>
                <c:pt idx="35">
                  <c:v>-3.8359999998647254E-2</c:v>
                </c:pt>
                <c:pt idx="36">
                  <c:v>-0.12559999999939464</c:v>
                </c:pt>
                <c:pt idx="37">
                  <c:v>-0.10496000000421191</c:v>
                </c:pt>
                <c:pt idx="38">
                  <c:v>-0.25084000000788365</c:v>
                </c:pt>
                <c:pt idx="39">
                  <c:v>-0.11263999999937369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F-4E05-8806-0D578AF85F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F-4E05-8806-0D578AF85F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0">
                  <c:v>-9.7680000006221235E-2</c:v>
                </c:pt>
                <c:pt idx="41">
                  <c:v>-0.10636000000522472</c:v>
                </c:pt>
                <c:pt idx="42">
                  <c:v>-0.12937999999849126</c:v>
                </c:pt>
                <c:pt idx="43">
                  <c:v>-0.13302000000112457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F-4E05-8806-0D578AF85F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F-4E05-8806-0D578AF85F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F-4E05-8806-0D578AF85F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  <c:pt idx="4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F-4E05-8806-0D578AF85F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  <c:pt idx="43">
                  <c:v>2788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1.8522359753000261E-2</c:v>
                </c:pt>
                <c:pt idx="1">
                  <c:v>1.7727417787214816E-2</c:v>
                </c:pt>
                <c:pt idx="2">
                  <c:v>1.623105643985398E-2</c:v>
                </c:pt>
                <c:pt idx="3">
                  <c:v>1.1180836892511155E-2</c:v>
                </c:pt>
                <c:pt idx="4">
                  <c:v>8.9362948714698989E-3</c:v>
                </c:pt>
                <c:pt idx="5">
                  <c:v>8.7024884109447691E-3</c:v>
                </c:pt>
                <c:pt idx="6">
                  <c:v>7.7205012767392186E-3</c:v>
                </c:pt>
                <c:pt idx="7">
                  <c:v>7.6737399846341925E-3</c:v>
                </c:pt>
                <c:pt idx="8">
                  <c:v>7.3931722320040357E-3</c:v>
                </c:pt>
                <c:pt idx="9">
                  <c:v>7.2061270635839312E-3</c:v>
                </c:pt>
                <c:pt idx="10">
                  <c:v>6.9723206030587997E-3</c:v>
                </c:pt>
                <c:pt idx="11">
                  <c:v>6.8320367267437213E-3</c:v>
                </c:pt>
                <c:pt idx="12">
                  <c:v>5.5694818399080149E-3</c:v>
                </c:pt>
                <c:pt idx="13">
                  <c:v>-4.1873212695124964E-5</c:v>
                </c:pt>
                <c:pt idx="14">
                  <c:v>-1.5849958521609881E-3</c:v>
                </c:pt>
                <c:pt idx="15">
                  <c:v>-2.5669829863665377E-3</c:v>
                </c:pt>
                <c:pt idx="16">
                  <c:v>-2.8943120311017197E-3</c:v>
                </c:pt>
                <c:pt idx="17">
                  <c:v>-4.0633443337273738E-3</c:v>
                </c:pt>
                <c:pt idx="18">
                  <c:v>-4.1101056258324008E-3</c:v>
                </c:pt>
                <c:pt idx="19">
                  <c:v>-1.4304067304728104E-2</c:v>
                </c:pt>
                <c:pt idx="20">
                  <c:v>-2.0055706233646324E-2</c:v>
                </c:pt>
                <c:pt idx="21">
                  <c:v>-2.6041151623089669E-2</c:v>
                </c:pt>
                <c:pt idx="22">
                  <c:v>-2.6368480667824858E-2</c:v>
                </c:pt>
                <c:pt idx="23">
                  <c:v>-2.7537512970450512E-2</c:v>
                </c:pt>
                <c:pt idx="24">
                  <c:v>-2.9548248530966631E-2</c:v>
                </c:pt>
                <c:pt idx="25">
                  <c:v>-3.60948294256703E-2</c:v>
                </c:pt>
                <c:pt idx="26">
                  <c:v>-4.1752945770378462E-2</c:v>
                </c:pt>
                <c:pt idx="27">
                  <c:v>-4.619526852035595E-2</c:v>
                </c:pt>
                <c:pt idx="28">
                  <c:v>-5.6389230199251648E-2</c:v>
                </c:pt>
                <c:pt idx="29">
                  <c:v>-5.9568998062393429E-2</c:v>
                </c:pt>
                <c:pt idx="30">
                  <c:v>-6.0363940028178874E-2</c:v>
                </c:pt>
                <c:pt idx="31">
                  <c:v>-6.2234391712379926E-2</c:v>
                </c:pt>
                <c:pt idx="32">
                  <c:v>-6.5180353114996564E-2</c:v>
                </c:pt>
                <c:pt idx="33">
                  <c:v>-6.7097566091302629E-2</c:v>
                </c:pt>
                <c:pt idx="34">
                  <c:v>-7.0651424291284626E-2</c:v>
                </c:pt>
                <c:pt idx="35">
                  <c:v>-7.8787889117559184E-2</c:v>
                </c:pt>
                <c:pt idx="36">
                  <c:v>-8.4212199001742205E-2</c:v>
                </c:pt>
                <c:pt idx="37">
                  <c:v>-8.5334470012262853E-2</c:v>
                </c:pt>
                <c:pt idx="38">
                  <c:v>-8.9636508885925253E-2</c:v>
                </c:pt>
                <c:pt idx="39">
                  <c:v>-9.4078831635902749E-2</c:v>
                </c:pt>
                <c:pt idx="40">
                  <c:v>-0.10137359320428682</c:v>
                </c:pt>
                <c:pt idx="41">
                  <c:v>-0.10894892252530106</c:v>
                </c:pt>
                <c:pt idx="42">
                  <c:v>-0.11774004544104599</c:v>
                </c:pt>
                <c:pt idx="43">
                  <c:v>-0.11918964549630179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F-4E05-8806-0D578AF8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5488"/>
        <c:axId val="1"/>
      </c:scatterChart>
      <c:valAx>
        <c:axId val="36494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4220183486239"/>
          <c:y val="0.91874999999999996"/>
          <c:w val="0.766972477064220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200025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1C5E0F-35DB-979D-8256-9937F093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93" TargetMode="External"/><Relationship Id="rId7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38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www.bav-astro.de/sfs/BAVM_link.php?BAVMnr=131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4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7.42578125" customWidth="1"/>
    <col min="2" max="2" width="5.140625" customWidth="1"/>
    <col min="3" max="3" width="13.2851562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25</v>
      </c>
      <c r="B2" s="17" t="s">
        <v>42</v>
      </c>
    </row>
    <row r="4" spans="1:6">
      <c r="A4" s="8" t="s">
        <v>0</v>
      </c>
      <c r="C4" s="3">
        <v>27152.25</v>
      </c>
      <c r="D4" s="4">
        <v>11.77664</v>
      </c>
    </row>
    <row r="5" spans="1:6">
      <c r="A5" s="35" t="s">
        <v>221</v>
      </c>
      <c r="B5" s="19"/>
      <c r="C5" s="36">
        <v>-9.5</v>
      </c>
      <c r="D5" s="19" t="s">
        <v>222</v>
      </c>
    </row>
    <row r="6" spans="1:6">
      <c r="A6" s="8" t="s">
        <v>1</v>
      </c>
    </row>
    <row r="7" spans="1:6">
      <c r="A7" t="s">
        <v>2</v>
      </c>
      <c r="C7">
        <f>+C4</f>
        <v>27152.25</v>
      </c>
    </row>
    <row r="8" spans="1:6">
      <c r="A8" t="s">
        <v>3</v>
      </c>
      <c r="C8">
        <f>+D4</f>
        <v>11.77664</v>
      </c>
    </row>
    <row r="9" spans="1:6">
      <c r="A9" s="37" t="s">
        <v>223</v>
      </c>
      <c r="B9" s="38">
        <v>21</v>
      </c>
      <c r="C9" s="39" t="str">
        <f>"F"&amp;B9</f>
        <v>F21</v>
      </c>
      <c r="D9" s="11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0">
        <f ca="1">INTERCEPT(INDIRECT($D$9):G992,INDIRECT($C$9):F992)</f>
        <v>1.1180836892511155E-2</v>
      </c>
      <c r="D11" s="6"/>
    </row>
    <row r="12" spans="1:6">
      <c r="A12" t="s">
        <v>17</v>
      </c>
      <c r="C12" s="40">
        <f ca="1">SLOPE(INDIRECT($D$9):G992,INDIRECT($C$9):F992)</f>
        <v>-4.6761292105026163E-5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2">
        <f ca="1">(C7+C11)+(C8+C12)*INT(MAX(F21:F3533))</f>
        <v>59985.403130354505</v>
      </c>
      <c r="E15" s="41" t="s">
        <v>224</v>
      </c>
      <c r="F15" s="42">
        <v>1</v>
      </c>
    </row>
    <row r="16" spans="1:6">
      <c r="A16" s="8" t="s">
        <v>4</v>
      </c>
      <c r="C16" s="13">
        <f ca="1">+C8+C12</f>
        <v>11.776593238707896</v>
      </c>
      <c r="E16" s="41" t="s">
        <v>225</v>
      </c>
      <c r="F16" s="43">
        <f ca="1">NOW()+15018.5+$C$5/24</f>
        <v>60308.850009837959</v>
      </c>
    </row>
    <row r="17" spans="1:17" ht="13.5" thickBot="1">
      <c r="A17" s="14" t="s">
        <v>41</v>
      </c>
      <c r="C17">
        <f>COUNT(C21:C2191)</f>
        <v>44</v>
      </c>
      <c r="E17" s="41" t="s">
        <v>226</v>
      </c>
      <c r="F17" s="44">
        <f ca="1">ROUND(2*(F16-$C$7)/$C$8,0)/2+F15</f>
        <v>2816.5</v>
      </c>
    </row>
    <row r="18" spans="1:17">
      <c r="A18" s="8" t="s">
        <v>5</v>
      </c>
      <c r="C18" s="3">
        <f ca="1">+C15</f>
        <v>59985.403130354505</v>
      </c>
      <c r="D18" s="4">
        <f ca="1">+C16</f>
        <v>11.776593238707896</v>
      </c>
      <c r="E18" s="41" t="s">
        <v>227</v>
      </c>
      <c r="F18" s="11">
        <f ca="1">ROUND(2*(F16-$C$15)/$C$16,0)/2+F15</f>
        <v>28.5</v>
      </c>
    </row>
    <row r="19" spans="1:17" ht="13.5" thickTop="1">
      <c r="E19" s="41" t="s">
        <v>228</v>
      </c>
      <c r="F19" s="45">
        <f ca="1">+$C$15+$C$16*F18-15018.5-$C$5/24</f>
        <v>45302.931870991015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35</v>
      </c>
      <c r="I20" s="10" t="s">
        <v>53</v>
      </c>
      <c r="J20" s="10" t="s">
        <v>48</v>
      </c>
      <c r="K20" s="10" t="s">
        <v>46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s="32" t="s">
        <v>60</v>
      </c>
      <c r="B21" s="34" t="s">
        <v>220</v>
      </c>
      <c r="C21" s="33">
        <v>25303.288</v>
      </c>
      <c r="D21" s="15"/>
      <c r="E21">
        <f t="shared" ref="E21:E62" si="0">+(C21-C$7)/C$8</f>
        <v>-157.00250665724684</v>
      </c>
      <c r="F21">
        <f t="shared" ref="F21:F62" si="1">ROUND(2*E21,0)/2</f>
        <v>-157</v>
      </c>
      <c r="G21">
        <f t="shared" ref="G21:G62" si="2">+C21-(C$7+F21*C$8)</f>
        <v>-2.952000000004773E-2</v>
      </c>
      <c r="H21">
        <f>+C21-(C$7+F21*C$8)</f>
        <v>-2.952000000004773E-2</v>
      </c>
      <c r="O21">
        <f t="shared" ref="O21:O62" ca="1" si="3">+C$11+C$12*$F21</f>
        <v>1.8522359753000261E-2</v>
      </c>
      <c r="Q21" s="2">
        <f t="shared" ref="Q21:Q62" si="4">+C21-15018.5</f>
        <v>10284.788</v>
      </c>
    </row>
    <row r="22" spans="1:17">
      <c r="A22" s="32" t="s">
        <v>65</v>
      </c>
      <c r="B22" s="34" t="s">
        <v>220</v>
      </c>
      <c r="C22" s="33">
        <v>25503.51</v>
      </c>
      <c r="D22" s="15"/>
      <c r="E22">
        <f t="shared" si="0"/>
        <v>-140.00088310417925</v>
      </c>
      <c r="F22">
        <f t="shared" si="1"/>
        <v>-140</v>
      </c>
      <c r="G22">
        <f t="shared" si="2"/>
        <v>-1.0400000002846355E-2</v>
      </c>
      <c r="H22">
        <f>+C22-(C$7+F22*C$8)</f>
        <v>-1.0400000002846355E-2</v>
      </c>
      <c r="O22">
        <f t="shared" ca="1" si="3"/>
        <v>1.7727417787214816E-2</v>
      </c>
      <c r="Q22" s="2">
        <f t="shared" si="4"/>
        <v>10485.009999999998</v>
      </c>
    </row>
    <row r="23" spans="1:17">
      <c r="A23" s="32" t="s">
        <v>71</v>
      </c>
      <c r="B23" s="34" t="s">
        <v>220</v>
      </c>
      <c r="C23" s="33">
        <v>25880.42</v>
      </c>
      <c r="D23" s="15"/>
      <c r="E23">
        <f t="shared" si="0"/>
        <v>-107.99599885875782</v>
      </c>
      <c r="F23">
        <f t="shared" si="1"/>
        <v>-108</v>
      </c>
      <c r="G23">
        <f t="shared" si="2"/>
        <v>4.7119999999267748E-2</v>
      </c>
      <c r="H23">
        <f>+C23-(C$7+F23*C$8)</f>
        <v>4.7119999999267748E-2</v>
      </c>
      <c r="O23">
        <f t="shared" ca="1" si="3"/>
        <v>1.623105643985398E-2</v>
      </c>
      <c r="Q23" s="2">
        <f t="shared" si="4"/>
        <v>10861.919999999998</v>
      </c>
    </row>
    <row r="24" spans="1:17">
      <c r="A24" t="s">
        <v>12</v>
      </c>
      <c r="C24" s="15">
        <v>27152.25</v>
      </c>
      <c r="D24" s="15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H24" s="11">
        <v>0</v>
      </c>
      <c r="O24">
        <f t="shared" ca="1" si="3"/>
        <v>1.1180836892511155E-2</v>
      </c>
      <c r="Q24" s="2">
        <f t="shared" si="4"/>
        <v>12133.75</v>
      </c>
    </row>
    <row r="25" spans="1:17">
      <c r="A25" s="32" t="s">
        <v>71</v>
      </c>
      <c r="B25" s="34" t="s">
        <v>220</v>
      </c>
      <c r="C25" s="33">
        <v>27717.55</v>
      </c>
      <c r="D25" s="15"/>
      <c r="E25">
        <f t="shared" si="0"/>
        <v>48.001806967012598</v>
      </c>
      <c r="F25">
        <f t="shared" si="1"/>
        <v>48</v>
      </c>
      <c r="G25">
        <f t="shared" si="2"/>
        <v>2.1280000000842847E-2</v>
      </c>
      <c r="H25">
        <f t="shared" ref="H25:H49" si="5">+C25-(C$7+F25*C$8)</f>
        <v>2.1280000000842847E-2</v>
      </c>
      <c r="O25">
        <f t="shared" ca="1" si="3"/>
        <v>8.9362948714698989E-3</v>
      </c>
      <c r="Q25" s="2">
        <f t="shared" si="4"/>
        <v>12699.05</v>
      </c>
    </row>
    <row r="26" spans="1:17">
      <c r="A26" s="32" t="s">
        <v>82</v>
      </c>
      <c r="B26" s="34" t="s">
        <v>220</v>
      </c>
      <c r="C26" s="33">
        <v>27776.428</v>
      </c>
      <c r="D26" s="15"/>
      <c r="E26">
        <f t="shared" si="0"/>
        <v>53.001365414923093</v>
      </c>
      <c r="F26">
        <f t="shared" si="1"/>
        <v>53</v>
      </c>
      <c r="G26">
        <f t="shared" si="2"/>
        <v>1.6080000001238659E-2</v>
      </c>
      <c r="H26">
        <f t="shared" si="5"/>
        <v>1.6080000001238659E-2</v>
      </c>
      <c r="O26">
        <f t="shared" ca="1" si="3"/>
        <v>8.7024884109447691E-3</v>
      </c>
      <c r="Q26" s="2">
        <f t="shared" si="4"/>
        <v>12757.928</v>
      </c>
    </row>
    <row r="27" spans="1:17">
      <c r="A27" s="32" t="s">
        <v>82</v>
      </c>
      <c r="B27" s="34" t="s">
        <v>220</v>
      </c>
      <c r="C27" s="33">
        <v>28023.722000000002</v>
      </c>
      <c r="D27" s="15"/>
      <c r="E27">
        <f t="shared" si="0"/>
        <v>74.000054344872694</v>
      </c>
      <c r="F27">
        <f t="shared" si="1"/>
        <v>74</v>
      </c>
      <c r="G27">
        <f t="shared" si="2"/>
        <v>6.4000000202213414E-4</v>
      </c>
      <c r="H27">
        <f t="shared" si="5"/>
        <v>6.4000000202213414E-4</v>
      </c>
      <c r="O27">
        <f t="shared" ca="1" si="3"/>
        <v>7.7205012767392186E-3</v>
      </c>
      <c r="Q27" s="2">
        <f t="shared" si="4"/>
        <v>13005.222000000002</v>
      </c>
    </row>
    <row r="28" spans="1:17">
      <c r="A28" s="32" t="s">
        <v>82</v>
      </c>
      <c r="B28" s="34" t="s">
        <v>220</v>
      </c>
      <c r="C28" s="33">
        <v>28035.508999999998</v>
      </c>
      <c r="D28" s="15"/>
      <c r="E28">
        <f t="shared" si="0"/>
        <v>75.000934052496987</v>
      </c>
      <c r="F28">
        <f t="shared" si="1"/>
        <v>75</v>
      </c>
      <c r="G28">
        <f t="shared" si="2"/>
        <v>1.0999999998603016E-2</v>
      </c>
      <c r="H28">
        <f t="shared" si="5"/>
        <v>1.0999999998603016E-2</v>
      </c>
      <c r="O28">
        <f t="shared" ca="1" si="3"/>
        <v>7.6737399846341925E-3</v>
      </c>
      <c r="Q28" s="2">
        <f t="shared" si="4"/>
        <v>13017.008999999998</v>
      </c>
    </row>
    <row r="29" spans="1:17">
      <c r="A29" s="32" t="s">
        <v>82</v>
      </c>
      <c r="B29" s="34" t="s">
        <v>220</v>
      </c>
      <c r="C29" s="33">
        <v>28106.163</v>
      </c>
      <c r="D29" s="15"/>
      <c r="E29">
        <f t="shared" si="0"/>
        <v>81.000438155535065</v>
      </c>
      <c r="F29">
        <f t="shared" si="1"/>
        <v>81</v>
      </c>
      <c r="G29">
        <f t="shared" si="2"/>
        <v>5.1600000006146729E-3</v>
      </c>
      <c r="H29">
        <f t="shared" si="5"/>
        <v>5.1600000006146729E-3</v>
      </c>
      <c r="O29">
        <f t="shared" ca="1" si="3"/>
        <v>7.3931722320040357E-3</v>
      </c>
      <c r="Q29" s="2">
        <f t="shared" si="4"/>
        <v>13087.663</v>
      </c>
    </row>
    <row r="30" spans="1:17">
      <c r="A30" s="32" t="s">
        <v>82</v>
      </c>
      <c r="B30" s="34" t="s">
        <v>220</v>
      </c>
      <c r="C30" s="33">
        <v>28153.277999999998</v>
      </c>
      <c r="D30" s="15"/>
      <c r="E30">
        <f t="shared" si="0"/>
        <v>85.001154828541786</v>
      </c>
      <c r="F30">
        <f t="shared" si="1"/>
        <v>85</v>
      </c>
      <c r="G30">
        <f t="shared" si="2"/>
        <v>1.359999999840511E-2</v>
      </c>
      <c r="H30">
        <f t="shared" si="5"/>
        <v>1.359999999840511E-2</v>
      </c>
      <c r="O30">
        <f t="shared" ca="1" si="3"/>
        <v>7.2061270635839312E-3</v>
      </c>
      <c r="Q30" s="2">
        <f t="shared" si="4"/>
        <v>13134.777999999998</v>
      </c>
    </row>
    <row r="31" spans="1:17">
      <c r="A31" s="32" t="s">
        <v>82</v>
      </c>
      <c r="B31" s="34" t="s">
        <v>220</v>
      </c>
      <c r="C31" s="33">
        <v>28212.135999999999</v>
      </c>
      <c r="D31" s="15"/>
      <c r="E31">
        <f t="shared" si="0"/>
        <v>89.999014999184709</v>
      </c>
      <c r="F31">
        <f t="shared" si="1"/>
        <v>90</v>
      </c>
      <c r="G31">
        <f t="shared" si="2"/>
        <v>-1.1600000001635635E-2</v>
      </c>
      <c r="H31">
        <f t="shared" si="5"/>
        <v>-1.1600000001635635E-2</v>
      </c>
      <c r="O31">
        <f t="shared" ca="1" si="3"/>
        <v>6.9723206030587997E-3</v>
      </c>
      <c r="Q31" s="2">
        <f t="shared" si="4"/>
        <v>13193.635999999999</v>
      </c>
    </row>
    <row r="32" spans="1:17">
      <c r="A32" s="32" t="s">
        <v>82</v>
      </c>
      <c r="B32" s="34" t="s">
        <v>220</v>
      </c>
      <c r="C32" s="33">
        <v>28247.455000000002</v>
      </c>
      <c r="D32" s="15"/>
      <c r="E32">
        <f t="shared" si="0"/>
        <v>92.998087739796901</v>
      </c>
      <c r="F32">
        <f t="shared" si="1"/>
        <v>93</v>
      </c>
      <c r="G32">
        <f t="shared" si="2"/>
        <v>-2.2519999998621643E-2</v>
      </c>
      <c r="H32">
        <f t="shared" si="5"/>
        <v>-2.2519999998621643E-2</v>
      </c>
      <c r="O32">
        <f t="shared" ca="1" si="3"/>
        <v>6.8320367267437213E-3</v>
      </c>
      <c r="Q32" s="2">
        <f t="shared" si="4"/>
        <v>13228.955000000002</v>
      </c>
    </row>
    <row r="33" spans="1:30">
      <c r="A33" s="32" t="s">
        <v>60</v>
      </c>
      <c r="B33" s="34" t="s">
        <v>220</v>
      </c>
      <c r="C33" s="33">
        <v>28565.312999999998</v>
      </c>
      <c r="D33" s="15"/>
      <c r="E33">
        <f t="shared" si="0"/>
        <v>119.98863852508001</v>
      </c>
      <c r="F33">
        <f t="shared" si="1"/>
        <v>120</v>
      </c>
      <c r="G33">
        <f t="shared" si="2"/>
        <v>-0.13380000000324799</v>
      </c>
      <c r="H33">
        <f t="shared" si="5"/>
        <v>-0.13380000000324799</v>
      </c>
      <c r="O33">
        <f t="shared" ca="1" si="3"/>
        <v>5.5694818399080149E-3</v>
      </c>
      <c r="Q33" s="2">
        <f t="shared" si="4"/>
        <v>13546.812999999998</v>
      </c>
    </row>
    <row r="34" spans="1:30">
      <c r="A34" s="32" t="s">
        <v>107</v>
      </c>
      <c r="B34" s="34" t="s">
        <v>220</v>
      </c>
      <c r="C34" s="33">
        <v>29978.51</v>
      </c>
      <c r="D34" s="15"/>
      <c r="E34">
        <f t="shared" si="0"/>
        <v>239.98865550785268</v>
      </c>
      <c r="F34">
        <f t="shared" si="1"/>
        <v>240</v>
      </c>
      <c r="G34">
        <f t="shared" si="2"/>
        <v>-0.13360000000102445</v>
      </c>
      <c r="H34">
        <f t="shared" si="5"/>
        <v>-0.13360000000102445</v>
      </c>
      <c r="O34">
        <f t="shared" ca="1" si="3"/>
        <v>-4.1873212695124964E-5</v>
      </c>
      <c r="Q34" s="2">
        <f t="shared" si="4"/>
        <v>14960.009999999998</v>
      </c>
    </row>
    <row r="35" spans="1:30">
      <c r="A35" s="32" t="s">
        <v>60</v>
      </c>
      <c r="B35" s="34" t="s">
        <v>220</v>
      </c>
      <c r="C35" s="33">
        <v>30367.294000000002</v>
      </c>
      <c r="D35" s="15"/>
      <c r="E35">
        <f t="shared" si="0"/>
        <v>273.00180696701278</v>
      </c>
      <c r="F35">
        <f t="shared" si="1"/>
        <v>273</v>
      </c>
      <c r="G35">
        <f t="shared" si="2"/>
        <v>2.1280000000842847E-2</v>
      </c>
      <c r="H35">
        <f t="shared" si="5"/>
        <v>2.1280000000842847E-2</v>
      </c>
      <c r="O35">
        <f t="shared" ca="1" si="3"/>
        <v>-1.5849958521609881E-3</v>
      </c>
      <c r="Q35" s="2">
        <f t="shared" si="4"/>
        <v>15348.794000000002</v>
      </c>
    </row>
    <row r="36" spans="1:30">
      <c r="A36" s="32" t="s">
        <v>60</v>
      </c>
      <c r="B36" s="34" t="s">
        <v>220</v>
      </c>
      <c r="C36" s="33">
        <v>30614.553</v>
      </c>
      <c r="D36" s="15"/>
      <c r="E36">
        <f t="shared" si="0"/>
        <v>293.99752391174388</v>
      </c>
      <c r="F36">
        <f t="shared" si="1"/>
        <v>294</v>
      </c>
      <c r="G36">
        <f t="shared" si="2"/>
        <v>-2.9159999998228159E-2</v>
      </c>
      <c r="H36">
        <f t="shared" si="5"/>
        <v>-2.9159999998228159E-2</v>
      </c>
      <c r="O36">
        <f t="shared" ca="1" si="3"/>
        <v>-2.5669829863665377E-3</v>
      </c>
      <c r="Q36" s="2">
        <f t="shared" si="4"/>
        <v>15596.053</v>
      </c>
    </row>
    <row r="37" spans="1:30">
      <c r="A37" s="32" t="s">
        <v>118</v>
      </c>
      <c r="B37" s="34" t="s">
        <v>220</v>
      </c>
      <c r="C37" s="33">
        <v>30697.114000000001</v>
      </c>
      <c r="D37" s="15"/>
      <c r="E37">
        <f t="shared" si="0"/>
        <v>301.00809738601174</v>
      </c>
      <c r="F37">
        <f t="shared" si="1"/>
        <v>301</v>
      </c>
      <c r="G37">
        <f t="shared" si="2"/>
        <v>9.5359999999345746E-2</v>
      </c>
      <c r="H37">
        <f t="shared" si="5"/>
        <v>9.5359999999345746E-2</v>
      </c>
      <c r="O37">
        <f t="shared" ca="1" si="3"/>
        <v>-2.8943120311017197E-3</v>
      </c>
      <c r="Q37" s="2">
        <f t="shared" si="4"/>
        <v>15678.614000000001</v>
      </c>
    </row>
    <row r="38" spans="1:30">
      <c r="A38" s="32" t="s">
        <v>60</v>
      </c>
      <c r="B38" s="34" t="s">
        <v>220</v>
      </c>
      <c r="C38" s="33">
        <v>30991.464</v>
      </c>
      <c r="D38" s="15"/>
      <c r="E38">
        <f t="shared" si="0"/>
        <v>326.00249307102871</v>
      </c>
      <c r="F38">
        <f t="shared" si="1"/>
        <v>326</v>
      </c>
      <c r="G38">
        <f t="shared" si="2"/>
        <v>2.9360000000451691E-2</v>
      </c>
      <c r="H38">
        <f t="shared" si="5"/>
        <v>2.9360000000451691E-2</v>
      </c>
      <c r="O38">
        <f t="shared" ca="1" si="3"/>
        <v>-4.0633443337273738E-3</v>
      </c>
      <c r="Q38" s="2">
        <f t="shared" si="4"/>
        <v>15972.964</v>
      </c>
    </row>
    <row r="39" spans="1:30">
      <c r="A39" s="32" t="s">
        <v>118</v>
      </c>
      <c r="B39" s="34" t="s">
        <v>220</v>
      </c>
      <c r="C39" s="33">
        <v>31003.309000000001</v>
      </c>
      <c r="D39" s="15"/>
      <c r="E39">
        <f t="shared" si="0"/>
        <v>327.0082977827293</v>
      </c>
      <c r="F39">
        <f t="shared" si="1"/>
        <v>327</v>
      </c>
      <c r="G39">
        <f t="shared" si="2"/>
        <v>9.7720000001572771E-2</v>
      </c>
      <c r="H39">
        <f t="shared" si="5"/>
        <v>9.7720000001572771E-2</v>
      </c>
      <c r="O39">
        <f t="shared" ca="1" si="3"/>
        <v>-4.1101056258324008E-3</v>
      </c>
      <c r="Q39" s="2">
        <f t="shared" si="4"/>
        <v>15984.809000000001</v>
      </c>
    </row>
    <row r="40" spans="1:30">
      <c r="A40" s="32" t="s">
        <v>60</v>
      </c>
      <c r="B40" s="34" t="s">
        <v>220</v>
      </c>
      <c r="C40" s="33">
        <v>33570.42</v>
      </c>
      <c r="D40" s="15"/>
      <c r="E40">
        <f t="shared" si="0"/>
        <v>544.99161051029819</v>
      </c>
      <c r="F40">
        <f t="shared" si="1"/>
        <v>545</v>
      </c>
      <c r="G40">
        <f t="shared" si="2"/>
        <v>-9.8799999999755528E-2</v>
      </c>
      <c r="H40">
        <f t="shared" si="5"/>
        <v>-9.8799999999755528E-2</v>
      </c>
      <c r="O40">
        <f t="shared" ca="1" si="3"/>
        <v>-1.4304067304728104E-2</v>
      </c>
      <c r="Q40" s="2">
        <f t="shared" si="4"/>
        <v>18551.919999999998</v>
      </c>
    </row>
    <row r="41" spans="1:30">
      <c r="A41" s="32" t="s">
        <v>132</v>
      </c>
      <c r="B41" s="34" t="s">
        <v>220</v>
      </c>
      <c r="C41" s="33">
        <v>35019.160000000003</v>
      </c>
      <c r="D41" s="15"/>
      <c r="E41">
        <f t="shared" si="0"/>
        <v>668.00972093907967</v>
      </c>
      <c r="F41">
        <f t="shared" si="1"/>
        <v>668</v>
      </c>
      <c r="G41">
        <f t="shared" si="2"/>
        <v>0.11448000000382308</v>
      </c>
      <c r="H41">
        <f t="shared" si="5"/>
        <v>0.11448000000382308</v>
      </c>
      <c r="O41">
        <f t="shared" ca="1" si="3"/>
        <v>-2.0055706233646324E-2</v>
      </c>
      <c r="Q41" s="2">
        <f t="shared" si="4"/>
        <v>20000.660000000003</v>
      </c>
    </row>
    <row r="42" spans="1:30">
      <c r="A42" s="32" t="s">
        <v>60</v>
      </c>
      <c r="B42" s="34" t="s">
        <v>220</v>
      </c>
      <c r="C42" s="33">
        <v>36526.542999999998</v>
      </c>
      <c r="D42" s="15"/>
      <c r="E42">
        <f t="shared" si="0"/>
        <v>796.00743505787705</v>
      </c>
      <c r="F42">
        <f t="shared" si="1"/>
        <v>796</v>
      </c>
      <c r="G42">
        <f t="shared" si="2"/>
        <v>8.7559999999939464E-2</v>
      </c>
      <c r="H42">
        <f t="shared" si="5"/>
        <v>8.7559999999939464E-2</v>
      </c>
      <c r="O42">
        <f t="shared" ca="1" si="3"/>
        <v>-2.6041151623089669E-2</v>
      </c>
      <c r="Q42" s="2">
        <f t="shared" si="4"/>
        <v>21508.042999999998</v>
      </c>
    </row>
    <row r="43" spans="1:30">
      <c r="A43" s="32" t="s">
        <v>60</v>
      </c>
      <c r="B43" s="34" t="s">
        <v>220</v>
      </c>
      <c r="C43" s="33">
        <v>36608.571000000004</v>
      </c>
      <c r="D43" s="15"/>
      <c r="E43">
        <f t="shared" si="0"/>
        <v>802.97274944296532</v>
      </c>
      <c r="F43">
        <f t="shared" si="1"/>
        <v>803</v>
      </c>
      <c r="G43">
        <f t="shared" si="2"/>
        <v>-0.32091999999829568</v>
      </c>
      <c r="H43">
        <f t="shared" si="5"/>
        <v>-0.32091999999829568</v>
      </c>
      <c r="O43">
        <f t="shared" ca="1" si="3"/>
        <v>-2.6368480667824858E-2</v>
      </c>
      <c r="Q43" s="2">
        <f t="shared" si="4"/>
        <v>21590.071000000004</v>
      </c>
    </row>
    <row r="44" spans="1:30">
      <c r="A44" s="32" t="s">
        <v>60</v>
      </c>
      <c r="B44" s="34" t="s">
        <v>220</v>
      </c>
      <c r="C44" s="33">
        <v>36903.550999999999</v>
      </c>
      <c r="D44" s="15"/>
      <c r="E44">
        <f t="shared" si="0"/>
        <v>828.02064086190956</v>
      </c>
      <c r="F44">
        <f t="shared" si="1"/>
        <v>828</v>
      </c>
      <c r="G44">
        <f t="shared" si="2"/>
        <v>0.24308000000019092</v>
      </c>
      <c r="H44">
        <f t="shared" si="5"/>
        <v>0.24308000000019092</v>
      </c>
      <c r="O44">
        <f t="shared" ca="1" si="3"/>
        <v>-2.7537512970450512E-2</v>
      </c>
      <c r="Q44" s="2">
        <f t="shared" si="4"/>
        <v>21885.050999999999</v>
      </c>
    </row>
    <row r="45" spans="1:30">
      <c r="A45" s="32" t="s">
        <v>146</v>
      </c>
      <c r="B45" s="34" t="s">
        <v>220</v>
      </c>
      <c r="C45" s="33">
        <v>37409.58</v>
      </c>
      <c r="D45" s="15"/>
      <c r="E45">
        <f t="shared" si="0"/>
        <v>870.98951823270488</v>
      </c>
      <c r="F45">
        <f t="shared" si="1"/>
        <v>871</v>
      </c>
      <c r="G45">
        <f t="shared" si="2"/>
        <v>-0.12343999999575317</v>
      </c>
      <c r="H45">
        <f t="shared" si="5"/>
        <v>-0.12343999999575317</v>
      </c>
      <c r="O45">
        <f t="shared" ca="1" si="3"/>
        <v>-2.9548248530966631E-2</v>
      </c>
      <c r="Q45" s="2">
        <f t="shared" si="4"/>
        <v>22391.08</v>
      </c>
    </row>
    <row r="46" spans="1:30">
      <c r="A46" s="32" t="s">
        <v>151</v>
      </c>
      <c r="B46" s="34" t="s">
        <v>220</v>
      </c>
      <c r="C46" s="33">
        <v>39058.35</v>
      </c>
      <c r="D46" s="15"/>
      <c r="E46">
        <f t="shared" si="0"/>
        <v>1010.992948752785</v>
      </c>
      <c r="F46">
        <f t="shared" si="1"/>
        <v>1011</v>
      </c>
      <c r="G46">
        <f t="shared" si="2"/>
        <v>-8.3040000004984904E-2</v>
      </c>
      <c r="H46">
        <f t="shared" si="5"/>
        <v>-8.3040000004984904E-2</v>
      </c>
      <c r="O46">
        <f t="shared" ca="1" si="3"/>
        <v>-3.60948294256703E-2</v>
      </c>
      <c r="Q46" s="2">
        <f t="shared" si="4"/>
        <v>24039.85</v>
      </c>
    </row>
    <row r="47" spans="1:30">
      <c r="A47" t="s">
        <v>30</v>
      </c>
      <c r="C47" s="16">
        <v>40483.432999999997</v>
      </c>
      <c r="D47" s="15"/>
      <c r="E47">
        <f t="shared" si="0"/>
        <v>1132.0022519156564</v>
      </c>
      <c r="F47">
        <f t="shared" si="1"/>
        <v>1132</v>
      </c>
      <c r="G47">
        <f t="shared" si="2"/>
        <v>2.651999999943655E-2</v>
      </c>
      <c r="H47">
        <f t="shared" si="5"/>
        <v>2.651999999943655E-2</v>
      </c>
      <c r="O47">
        <f t="shared" ca="1" si="3"/>
        <v>-4.1752945770378462E-2</v>
      </c>
      <c r="Q47" s="2">
        <f t="shared" si="4"/>
        <v>25464.932999999997</v>
      </c>
      <c r="AA47" t="s">
        <v>29</v>
      </c>
      <c r="AD47" t="s">
        <v>31</v>
      </c>
    </row>
    <row r="48" spans="1:30">
      <c r="A48" t="s">
        <v>30</v>
      </c>
      <c r="C48" s="16">
        <v>41602.262000000002</v>
      </c>
      <c r="D48" s="15"/>
      <c r="E48">
        <f t="shared" si="0"/>
        <v>1227.0063447638718</v>
      </c>
      <c r="F48">
        <f t="shared" si="1"/>
        <v>1227</v>
      </c>
      <c r="G48">
        <f t="shared" si="2"/>
        <v>7.4720000004163012E-2</v>
      </c>
      <c r="H48">
        <f t="shared" si="5"/>
        <v>7.4720000004163012E-2</v>
      </c>
      <c r="O48">
        <f t="shared" ca="1" si="3"/>
        <v>-4.619526852035595E-2</v>
      </c>
      <c r="Q48" s="2">
        <f t="shared" si="4"/>
        <v>26583.762000000002</v>
      </c>
      <c r="AA48" t="s">
        <v>29</v>
      </c>
      <c r="AD48" t="s">
        <v>31</v>
      </c>
    </row>
    <row r="49" spans="1:32">
      <c r="A49" t="s">
        <v>32</v>
      </c>
      <c r="C49" s="16">
        <v>44169.464</v>
      </c>
      <c r="D49" s="15"/>
      <c r="E49">
        <f t="shared" si="0"/>
        <v>1444.9973846530079</v>
      </c>
      <c r="F49">
        <f t="shared" si="1"/>
        <v>1445</v>
      </c>
      <c r="G49">
        <f t="shared" si="2"/>
        <v>-3.080000000045402E-2</v>
      </c>
      <c r="H49">
        <f t="shared" si="5"/>
        <v>-3.080000000045402E-2</v>
      </c>
      <c r="O49">
        <f t="shared" ca="1" si="3"/>
        <v>-5.6389230199251648E-2</v>
      </c>
      <c r="Q49" s="2">
        <f t="shared" si="4"/>
        <v>29150.964</v>
      </c>
      <c r="AA49" t="s">
        <v>29</v>
      </c>
      <c r="AD49" t="s">
        <v>31</v>
      </c>
    </row>
    <row r="50" spans="1:32">
      <c r="A50" t="s">
        <v>33</v>
      </c>
      <c r="C50" s="16">
        <v>44970.341999999997</v>
      </c>
      <c r="D50" s="15"/>
      <c r="E50">
        <f t="shared" si="0"/>
        <v>1513.0030297266451</v>
      </c>
      <c r="F50">
        <f t="shared" si="1"/>
        <v>1513</v>
      </c>
      <c r="G50">
        <f t="shared" si="2"/>
        <v>3.5679999993590172E-2</v>
      </c>
      <c r="I50">
        <f t="shared" ref="I50:I60" si="6">+C50-(C$7+F50*C$8)</f>
        <v>3.5679999993590172E-2</v>
      </c>
      <c r="O50">
        <f t="shared" ca="1" si="3"/>
        <v>-5.9568998062393429E-2</v>
      </c>
      <c r="Q50" s="2">
        <f t="shared" si="4"/>
        <v>29951.841999999997</v>
      </c>
      <c r="AA50" t="s">
        <v>29</v>
      </c>
      <c r="AD50" t="s">
        <v>31</v>
      </c>
    </row>
    <row r="51" spans="1:32">
      <c r="A51" t="s">
        <v>34</v>
      </c>
      <c r="C51" s="16">
        <v>45170.46</v>
      </c>
      <c r="D51" s="15"/>
      <c r="E51">
        <f t="shared" si="0"/>
        <v>1529.9958222379216</v>
      </c>
      <c r="F51">
        <f t="shared" si="1"/>
        <v>1530</v>
      </c>
      <c r="G51">
        <f t="shared" si="2"/>
        <v>-4.920000000129221E-2</v>
      </c>
      <c r="I51">
        <f t="shared" si="6"/>
        <v>-4.920000000129221E-2</v>
      </c>
      <c r="O51">
        <f t="shared" ca="1" si="3"/>
        <v>-6.0363940028178874E-2</v>
      </c>
      <c r="Q51" s="2">
        <f t="shared" si="4"/>
        <v>30151.96</v>
      </c>
      <c r="AA51" t="s">
        <v>29</v>
      </c>
      <c r="AD51" t="s">
        <v>31</v>
      </c>
    </row>
    <row r="52" spans="1:32">
      <c r="A52" t="s">
        <v>36</v>
      </c>
      <c r="C52" s="16">
        <v>45641.510999999999</v>
      </c>
      <c r="D52" s="15"/>
      <c r="E52">
        <f t="shared" si="0"/>
        <v>1569.9945824955164</v>
      </c>
      <c r="F52">
        <f t="shared" si="1"/>
        <v>1570</v>
      </c>
      <c r="G52">
        <f t="shared" si="2"/>
        <v>-6.3800000003539026E-2</v>
      </c>
      <c r="I52">
        <f t="shared" si="6"/>
        <v>-6.3800000003539026E-2</v>
      </c>
      <c r="O52">
        <f t="shared" ca="1" si="3"/>
        <v>-6.2234391712379926E-2</v>
      </c>
      <c r="Q52" s="2">
        <f t="shared" si="4"/>
        <v>30623.010999999999</v>
      </c>
      <c r="AA52" t="s">
        <v>35</v>
      </c>
      <c r="AD52" t="s">
        <v>31</v>
      </c>
    </row>
    <row r="53" spans="1:32">
      <c r="A53" s="32" t="s">
        <v>180</v>
      </c>
      <c r="B53" s="34" t="s">
        <v>220</v>
      </c>
      <c r="C53" s="33">
        <v>46383.436999999998</v>
      </c>
      <c r="D53" s="15"/>
      <c r="E53">
        <f t="shared" si="0"/>
        <v>1632.9943854953533</v>
      </c>
      <c r="F53">
        <f t="shared" si="1"/>
        <v>1633</v>
      </c>
      <c r="G53">
        <f t="shared" si="2"/>
        <v>-6.6120000003138557E-2</v>
      </c>
      <c r="I53">
        <f t="shared" si="6"/>
        <v>-6.6120000003138557E-2</v>
      </c>
      <c r="O53">
        <f t="shared" ca="1" si="3"/>
        <v>-6.5180353114996564E-2</v>
      </c>
      <c r="Q53" s="2">
        <f t="shared" si="4"/>
        <v>31364.936999999998</v>
      </c>
    </row>
    <row r="54" spans="1:32">
      <c r="A54" t="s">
        <v>39</v>
      </c>
      <c r="C54" s="16">
        <v>46866.284</v>
      </c>
      <c r="D54" s="15"/>
      <c r="E54">
        <f t="shared" si="0"/>
        <v>1673.994789685343</v>
      </c>
      <c r="F54">
        <f t="shared" si="1"/>
        <v>1674</v>
      </c>
      <c r="G54">
        <f t="shared" si="2"/>
        <v>-6.1359999999694992E-2</v>
      </c>
      <c r="I54">
        <f t="shared" si="6"/>
        <v>-6.1359999999694992E-2</v>
      </c>
      <c r="O54">
        <f t="shared" ca="1" si="3"/>
        <v>-6.7097566091302629E-2</v>
      </c>
      <c r="Q54" s="2">
        <f t="shared" si="4"/>
        <v>31847.784</v>
      </c>
      <c r="AA54" t="s">
        <v>29</v>
      </c>
      <c r="AB54">
        <v>6</v>
      </c>
      <c r="AD54" t="s">
        <v>37</v>
      </c>
      <c r="AE54" t="s">
        <v>40</v>
      </c>
      <c r="AF54" t="s">
        <v>31</v>
      </c>
    </row>
    <row r="55" spans="1:32">
      <c r="A55" s="32" t="s">
        <v>189</v>
      </c>
      <c r="B55" s="34" t="s">
        <v>220</v>
      </c>
      <c r="C55" s="33">
        <v>47761.322999999997</v>
      </c>
      <c r="D55" s="15"/>
      <c r="E55">
        <f t="shared" si="0"/>
        <v>1749.996009048421</v>
      </c>
      <c r="F55">
        <f t="shared" si="1"/>
        <v>1750</v>
      </c>
      <c r="G55">
        <f t="shared" si="2"/>
        <v>-4.6999999998661224E-2</v>
      </c>
      <c r="I55">
        <f t="shared" si="6"/>
        <v>-4.6999999998661224E-2</v>
      </c>
      <c r="O55">
        <f t="shared" ca="1" si="3"/>
        <v>-7.0651424291284626E-2</v>
      </c>
      <c r="Q55" s="2">
        <f t="shared" si="4"/>
        <v>32742.822999999997</v>
      </c>
    </row>
    <row r="56" spans="1:32">
      <c r="A56" t="s">
        <v>38</v>
      </c>
      <c r="C56" s="16">
        <v>49810.466999999997</v>
      </c>
      <c r="D56" s="15"/>
      <c r="E56">
        <f t="shared" si="0"/>
        <v>1923.9967427042004</v>
      </c>
      <c r="F56">
        <f t="shared" si="1"/>
        <v>1924</v>
      </c>
      <c r="G56">
        <f t="shared" si="2"/>
        <v>-3.8359999998647254E-2</v>
      </c>
      <c r="I56">
        <f t="shared" si="6"/>
        <v>-3.8359999998647254E-2</v>
      </c>
      <c r="O56">
        <f t="shared" ca="1" si="3"/>
        <v>-7.8787889117559184E-2</v>
      </c>
      <c r="Q56" s="2">
        <f t="shared" si="4"/>
        <v>34791.966999999997</v>
      </c>
      <c r="AA56" t="s">
        <v>29</v>
      </c>
    </row>
    <row r="57" spans="1:32">
      <c r="A57" s="32" t="s">
        <v>199</v>
      </c>
      <c r="B57" s="34" t="s">
        <v>220</v>
      </c>
      <c r="C57" s="33">
        <v>51176.47</v>
      </c>
      <c r="D57" s="15"/>
      <c r="E57">
        <f t="shared" si="0"/>
        <v>2039.98933481876</v>
      </c>
      <c r="F57">
        <f t="shared" si="1"/>
        <v>2040</v>
      </c>
      <c r="G57">
        <f t="shared" si="2"/>
        <v>-0.12559999999939464</v>
      </c>
      <c r="I57">
        <f t="shared" si="6"/>
        <v>-0.12559999999939464</v>
      </c>
      <c r="O57">
        <f t="shared" ca="1" si="3"/>
        <v>-8.4212199001742205E-2</v>
      </c>
      <c r="Q57" s="2">
        <f t="shared" si="4"/>
        <v>36157.97</v>
      </c>
    </row>
    <row r="58" spans="1:32">
      <c r="A58" s="32" t="s">
        <v>203</v>
      </c>
      <c r="B58" s="34" t="s">
        <v>220</v>
      </c>
      <c r="C58" s="33">
        <v>51459.13</v>
      </c>
      <c r="D58" s="15"/>
      <c r="E58">
        <f t="shared" si="0"/>
        <v>2063.9910874408997</v>
      </c>
      <c r="F58">
        <f t="shared" si="1"/>
        <v>2064</v>
      </c>
      <c r="G58">
        <f t="shared" si="2"/>
        <v>-0.10496000000421191</v>
      </c>
      <c r="I58">
        <f t="shared" si="6"/>
        <v>-0.10496000000421191</v>
      </c>
      <c r="O58">
        <f t="shared" ca="1" si="3"/>
        <v>-8.5334470012262853E-2</v>
      </c>
      <c r="Q58" s="2">
        <f t="shared" si="4"/>
        <v>36440.629999999997</v>
      </c>
    </row>
    <row r="59" spans="1:32">
      <c r="A59" s="32" t="s">
        <v>208</v>
      </c>
      <c r="B59" s="34" t="s">
        <v>220</v>
      </c>
      <c r="C59" s="33">
        <v>52542.434999999998</v>
      </c>
      <c r="D59" s="15"/>
      <c r="E59">
        <f t="shared" si="0"/>
        <v>2155.9787002065104</v>
      </c>
      <c r="F59">
        <f t="shared" si="1"/>
        <v>2156</v>
      </c>
      <c r="G59">
        <f t="shared" si="2"/>
        <v>-0.25084000000788365</v>
      </c>
      <c r="I59">
        <f t="shared" si="6"/>
        <v>-0.25084000000788365</v>
      </c>
      <c r="O59">
        <f t="shared" ca="1" si="3"/>
        <v>-8.9636508885925253E-2</v>
      </c>
      <c r="Q59" s="2">
        <f t="shared" si="4"/>
        <v>37523.934999999998</v>
      </c>
    </row>
    <row r="60" spans="1:32" ht="12" customHeight="1">
      <c r="A60" s="32" t="s">
        <v>212</v>
      </c>
      <c r="B60" s="34" t="s">
        <v>220</v>
      </c>
      <c r="C60" s="33">
        <v>53661.353999999999</v>
      </c>
      <c r="D60" s="15"/>
      <c r="E60">
        <f t="shared" si="0"/>
        <v>2250.990435302429</v>
      </c>
      <c r="F60">
        <f t="shared" si="1"/>
        <v>2251</v>
      </c>
      <c r="G60">
        <f t="shared" si="2"/>
        <v>-0.11263999999937369</v>
      </c>
      <c r="I60">
        <f t="shared" si="6"/>
        <v>-0.11263999999937369</v>
      </c>
      <c r="O60">
        <f t="shared" ca="1" si="3"/>
        <v>-9.4078831635902749E-2</v>
      </c>
      <c r="Q60" s="2">
        <f t="shared" si="4"/>
        <v>38642.853999999999</v>
      </c>
    </row>
    <row r="61" spans="1:32" ht="12" customHeight="1">
      <c r="A61" s="32" t="s">
        <v>219</v>
      </c>
      <c r="B61" s="34" t="s">
        <v>220</v>
      </c>
      <c r="C61" s="33">
        <v>55498.524799999999</v>
      </c>
      <c r="D61" s="15"/>
      <c r="E61">
        <f t="shared" si="0"/>
        <v>2406.9917056138252</v>
      </c>
      <c r="F61">
        <f t="shared" si="1"/>
        <v>2407</v>
      </c>
      <c r="G61">
        <f t="shared" si="2"/>
        <v>-9.7680000006221235E-2</v>
      </c>
      <c r="K61">
        <f>+C61-(C$7+F61*C$8)</f>
        <v>-9.7680000006221235E-2</v>
      </c>
      <c r="O61">
        <f t="shared" ca="1" si="3"/>
        <v>-0.10137359320428682</v>
      </c>
      <c r="Q61" s="2">
        <f t="shared" si="4"/>
        <v>40480.024799999999</v>
      </c>
    </row>
    <row r="62" spans="1:32" ht="12" customHeight="1">
      <c r="A62" s="46" t="s">
        <v>229</v>
      </c>
      <c r="B62" s="47" t="s">
        <v>220</v>
      </c>
      <c r="C62" s="48">
        <v>57406.3318</v>
      </c>
      <c r="D62" s="48">
        <v>7.0000000000000001E-3</v>
      </c>
      <c r="E62">
        <f t="shared" si="0"/>
        <v>2568.9909685614912</v>
      </c>
      <c r="F62">
        <f t="shared" si="1"/>
        <v>2569</v>
      </c>
      <c r="G62">
        <f t="shared" si="2"/>
        <v>-0.10636000000522472</v>
      </c>
      <c r="K62">
        <f>+C62-(C$7+F62*C$8)</f>
        <v>-0.10636000000522472</v>
      </c>
      <c r="O62">
        <f t="shared" ca="1" si="3"/>
        <v>-0.10894892252530106</v>
      </c>
      <c r="Q62" s="2">
        <f t="shared" si="4"/>
        <v>42387.8318</v>
      </c>
    </row>
    <row r="63" spans="1:32" ht="12" customHeight="1">
      <c r="A63" s="49" t="s">
        <v>230</v>
      </c>
      <c r="B63" s="50" t="s">
        <v>220</v>
      </c>
      <c r="C63" s="54">
        <v>59620.3171</v>
      </c>
      <c r="D63" s="53">
        <v>4.0000000000000002E-4</v>
      </c>
      <c r="E63">
        <f t="shared" ref="E63" si="7">+(C63-C$7)/C$8</f>
        <v>2756.9890138443561</v>
      </c>
      <c r="F63">
        <f t="shared" ref="F63" si="8">ROUND(2*E63,0)/2</f>
        <v>2757</v>
      </c>
      <c r="G63">
        <f t="shared" ref="G63" si="9">+C63-(C$7+F63*C$8)</f>
        <v>-0.12937999999849126</v>
      </c>
      <c r="K63">
        <f>+C63-(C$7+F63*C$8)</f>
        <v>-0.12937999999849126</v>
      </c>
      <c r="O63">
        <f t="shared" ref="O63" ca="1" si="10">+C$11+C$12*$F63</f>
        <v>-0.11774004544104599</v>
      </c>
      <c r="Q63" s="2">
        <f t="shared" ref="Q63" si="11">+C63-15018.5</f>
        <v>44601.8171</v>
      </c>
    </row>
    <row r="64" spans="1:32" ht="12" customHeight="1">
      <c r="A64" s="51" t="s">
        <v>231</v>
      </c>
      <c r="B64" s="52" t="s">
        <v>220</v>
      </c>
      <c r="C64" s="53">
        <v>59985.389300000003</v>
      </c>
      <c r="D64" s="53">
        <v>5.0000000000000001E-4</v>
      </c>
      <c r="E64">
        <f t="shared" ref="E64" si="12">+(C64-C$7)/C$8</f>
        <v>2787.9887047578936</v>
      </c>
      <c r="F64">
        <f t="shared" ref="F64" si="13">ROUND(2*E64,0)/2</f>
        <v>2788</v>
      </c>
      <c r="G64">
        <f t="shared" ref="G64" si="14">+C64-(C$7+F64*C$8)</f>
        <v>-0.13302000000112457</v>
      </c>
      <c r="K64">
        <f>+C64-(C$7+F64*C$8)</f>
        <v>-0.13302000000112457</v>
      </c>
      <c r="O64">
        <f t="shared" ref="O64" ca="1" si="15">+C$11+C$12*$F64</f>
        <v>-0.11918964549630179</v>
      </c>
      <c r="Q64" s="2">
        <f t="shared" ref="Q64" si="16">+C64-15018.5</f>
        <v>44966.889300000003</v>
      </c>
    </row>
    <row r="65" spans="2:4" ht="12" customHeight="1">
      <c r="B65" s="6"/>
      <c r="C65" s="15"/>
      <c r="D65" s="15"/>
    </row>
    <row r="66" spans="2:4" ht="12" customHeight="1">
      <c r="B66" s="6"/>
      <c r="C66" s="15"/>
      <c r="D66" s="15"/>
    </row>
    <row r="67" spans="2:4">
      <c r="B67" s="6"/>
      <c r="C67" s="15"/>
      <c r="D67" s="15"/>
    </row>
    <row r="68" spans="2:4">
      <c r="B68" s="6"/>
      <c r="C68" s="15"/>
      <c r="D68" s="15"/>
    </row>
    <row r="69" spans="2:4">
      <c r="B69" s="6"/>
      <c r="C69" s="15"/>
      <c r="D69" s="15"/>
    </row>
    <row r="70" spans="2:4">
      <c r="B70" s="6"/>
      <c r="C70" s="15"/>
      <c r="D70" s="15"/>
    </row>
    <row r="71" spans="2:4">
      <c r="B71" s="6"/>
      <c r="C71" s="15"/>
      <c r="D71" s="15"/>
    </row>
    <row r="72" spans="2:4">
      <c r="B72" s="6"/>
      <c r="C72" s="15"/>
      <c r="D72" s="15"/>
    </row>
    <row r="73" spans="2:4">
      <c r="B73" s="6"/>
      <c r="C73" s="15"/>
      <c r="D73" s="15"/>
    </row>
    <row r="74" spans="2:4">
      <c r="C74" s="15"/>
      <c r="D74" s="15"/>
    </row>
    <row r="75" spans="2:4">
      <c r="C75" s="15"/>
      <c r="D75" s="15"/>
    </row>
    <row r="76" spans="2:4">
      <c r="C76" s="15"/>
      <c r="D76" s="15"/>
    </row>
    <row r="77" spans="2:4">
      <c r="C77" s="15"/>
      <c r="D77" s="15"/>
    </row>
    <row r="78" spans="2:4">
      <c r="C78" s="15"/>
      <c r="D78" s="15"/>
    </row>
    <row r="79" spans="2:4">
      <c r="C79" s="15"/>
      <c r="D79" s="15"/>
    </row>
    <row r="80" spans="2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10" workbookViewId="0">
      <selection activeCell="A20" sqref="A20:C51"/>
    </sheetView>
  </sheetViews>
  <sheetFormatPr defaultRowHeight="12.75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44</v>
      </c>
      <c r="I1" s="20" t="s">
        <v>45</v>
      </c>
      <c r="J1" s="21" t="s">
        <v>46</v>
      </c>
    </row>
    <row r="2" spans="1:16">
      <c r="I2" s="22" t="s">
        <v>47</v>
      </c>
      <c r="J2" s="23" t="s">
        <v>48</v>
      </c>
    </row>
    <row r="3" spans="1:16">
      <c r="A3" s="24" t="s">
        <v>49</v>
      </c>
      <c r="I3" s="22" t="s">
        <v>50</v>
      </c>
      <c r="J3" s="23" t="s">
        <v>35</v>
      </c>
    </row>
    <row r="4" spans="1:16">
      <c r="I4" s="22" t="s">
        <v>51</v>
      </c>
      <c r="J4" s="23" t="s">
        <v>35</v>
      </c>
    </row>
    <row r="5" spans="1:16" ht="13.5" thickBot="1">
      <c r="I5" s="25" t="s">
        <v>52</v>
      </c>
      <c r="J5" s="26" t="s">
        <v>53</v>
      </c>
    </row>
    <row r="10" spans="1:16" ht="13.5" thickBot="1"/>
    <row r="11" spans="1:16" ht="12.75" customHeight="1" thickBot="1">
      <c r="A11" s="15" t="str">
        <f t="shared" ref="A11:A51" si="0">P11</f>
        <v> AN 254.325 </v>
      </c>
      <c r="B11" s="6" t="str">
        <f t="shared" ref="B11:B51" si="1">IF(H11=INT(H11),"I","II")</f>
        <v>I</v>
      </c>
      <c r="C11" s="15">
        <f t="shared" ref="C11:C51" si="2">1*G11</f>
        <v>27152.25</v>
      </c>
      <c r="D11" s="19" t="str">
        <f t="shared" ref="D11:D51" si="3">VLOOKUP(F11,I$1:J$5,2,FALSE)</f>
        <v>vis</v>
      </c>
      <c r="E11" s="27">
        <f>VLOOKUP(C11,Active!C$21:E$973,3,FALSE)</f>
        <v>0</v>
      </c>
      <c r="F11" s="6" t="s">
        <v>52</v>
      </c>
      <c r="G11" s="19" t="str">
        <f t="shared" ref="G11:G51" si="4">MID(I11,3,LEN(I11)-3)</f>
        <v>27152.25</v>
      </c>
      <c r="H11" s="15">
        <f t="shared" ref="H11:H51" si="5">1*K11</f>
        <v>0</v>
      </c>
      <c r="I11" s="28" t="s">
        <v>72</v>
      </c>
      <c r="J11" s="29" t="s">
        <v>73</v>
      </c>
      <c r="K11" s="28">
        <v>0</v>
      </c>
      <c r="L11" s="28" t="s">
        <v>74</v>
      </c>
      <c r="M11" s="29" t="s">
        <v>69</v>
      </c>
      <c r="N11" s="29"/>
      <c r="O11" s="30" t="s">
        <v>70</v>
      </c>
      <c r="P11" s="30" t="s">
        <v>71</v>
      </c>
    </row>
    <row r="12" spans="1:16" ht="12.75" customHeight="1" thickBot="1">
      <c r="A12" s="15" t="str">
        <f t="shared" si="0"/>
        <v> HABZ 89 </v>
      </c>
      <c r="B12" s="6" t="str">
        <f t="shared" si="1"/>
        <v>I</v>
      </c>
      <c r="C12" s="15">
        <f t="shared" si="2"/>
        <v>40483.432999999997</v>
      </c>
      <c r="D12" s="19" t="str">
        <f t="shared" si="3"/>
        <v>vis</v>
      </c>
      <c r="E12" s="27">
        <f>VLOOKUP(C12,Active!C$21:E$973,3,FALSE)</f>
        <v>1132.0022519156564</v>
      </c>
      <c r="F12" s="6" t="s">
        <v>52</v>
      </c>
      <c r="G12" s="19" t="str">
        <f t="shared" si="4"/>
        <v>40483.433</v>
      </c>
      <c r="H12" s="15">
        <f t="shared" si="5"/>
        <v>1132</v>
      </c>
      <c r="I12" s="28" t="s">
        <v>152</v>
      </c>
      <c r="J12" s="29" t="s">
        <v>153</v>
      </c>
      <c r="K12" s="28">
        <v>1132</v>
      </c>
      <c r="L12" s="28" t="s">
        <v>154</v>
      </c>
      <c r="M12" s="29" t="s">
        <v>58</v>
      </c>
      <c r="N12" s="29"/>
      <c r="O12" s="30" t="s">
        <v>150</v>
      </c>
      <c r="P12" s="30" t="s">
        <v>151</v>
      </c>
    </row>
    <row r="13" spans="1:16" ht="12.75" customHeight="1" thickBot="1">
      <c r="A13" s="15" t="str">
        <f t="shared" si="0"/>
        <v> HABZ 89 </v>
      </c>
      <c r="B13" s="6" t="str">
        <f t="shared" si="1"/>
        <v>I</v>
      </c>
      <c r="C13" s="15">
        <f t="shared" si="2"/>
        <v>41602.262000000002</v>
      </c>
      <c r="D13" s="19" t="str">
        <f t="shared" si="3"/>
        <v>vis</v>
      </c>
      <c r="E13" s="27">
        <f>VLOOKUP(C13,Active!C$21:E$973,3,FALSE)</f>
        <v>1227.0063447638718</v>
      </c>
      <c r="F13" s="6" t="s">
        <v>52</v>
      </c>
      <c r="G13" s="19" t="str">
        <f t="shared" si="4"/>
        <v>41602.262</v>
      </c>
      <c r="H13" s="15">
        <f t="shared" si="5"/>
        <v>1227</v>
      </c>
      <c r="I13" s="28" t="s">
        <v>155</v>
      </c>
      <c r="J13" s="29" t="s">
        <v>156</v>
      </c>
      <c r="K13" s="28">
        <v>1227</v>
      </c>
      <c r="L13" s="28" t="s">
        <v>157</v>
      </c>
      <c r="M13" s="29" t="s">
        <v>58</v>
      </c>
      <c r="N13" s="29"/>
      <c r="O13" s="30" t="s">
        <v>150</v>
      </c>
      <c r="P13" s="30" t="s">
        <v>151</v>
      </c>
    </row>
    <row r="14" spans="1:16" ht="12.75" customHeight="1" thickBot="1">
      <c r="A14" s="15" t="str">
        <f t="shared" si="0"/>
        <v>BAVM 32 </v>
      </c>
      <c r="B14" s="6" t="str">
        <f t="shared" si="1"/>
        <v>I</v>
      </c>
      <c r="C14" s="15">
        <f t="shared" si="2"/>
        <v>44169.464</v>
      </c>
      <c r="D14" s="19" t="str">
        <f t="shared" si="3"/>
        <v>vis</v>
      </c>
      <c r="E14" s="27">
        <f>VLOOKUP(C14,Active!C$21:E$973,3,FALSE)</f>
        <v>1444.9973846530079</v>
      </c>
      <c r="F14" s="6" t="s">
        <v>52</v>
      </c>
      <c r="G14" s="19" t="str">
        <f t="shared" si="4"/>
        <v>44169.464</v>
      </c>
      <c r="H14" s="15">
        <f t="shared" si="5"/>
        <v>1445</v>
      </c>
      <c r="I14" s="28" t="s">
        <v>158</v>
      </c>
      <c r="J14" s="29" t="s">
        <v>159</v>
      </c>
      <c r="K14" s="28">
        <v>1445</v>
      </c>
      <c r="L14" s="28" t="s">
        <v>160</v>
      </c>
      <c r="M14" s="29" t="s">
        <v>69</v>
      </c>
      <c r="N14" s="29"/>
      <c r="O14" s="30" t="s">
        <v>161</v>
      </c>
      <c r="P14" s="31" t="s">
        <v>162</v>
      </c>
    </row>
    <row r="15" spans="1:16" ht="12.75" customHeight="1" thickBot="1">
      <c r="A15" s="15" t="str">
        <f t="shared" si="0"/>
        <v> VSSC 59.19 </v>
      </c>
      <c r="B15" s="6" t="str">
        <f t="shared" si="1"/>
        <v>I</v>
      </c>
      <c r="C15" s="15">
        <f t="shared" si="2"/>
        <v>44970.341999999997</v>
      </c>
      <c r="D15" s="19" t="str">
        <f t="shared" si="3"/>
        <v>vis</v>
      </c>
      <c r="E15" s="27">
        <f>VLOOKUP(C15,Active!C$21:E$973,3,FALSE)</f>
        <v>1513.0030297266451</v>
      </c>
      <c r="F15" s="6" t="s">
        <v>52</v>
      </c>
      <c r="G15" s="19" t="str">
        <f t="shared" si="4"/>
        <v>44970.342</v>
      </c>
      <c r="H15" s="15">
        <f t="shared" si="5"/>
        <v>1513</v>
      </c>
      <c r="I15" s="28" t="s">
        <v>163</v>
      </c>
      <c r="J15" s="29" t="s">
        <v>164</v>
      </c>
      <c r="K15" s="28">
        <v>1513</v>
      </c>
      <c r="L15" s="28" t="s">
        <v>165</v>
      </c>
      <c r="M15" s="29" t="s">
        <v>69</v>
      </c>
      <c r="N15" s="29"/>
      <c r="O15" s="30" t="s">
        <v>166</v>
      </c>
      <c r="P15" s="30" t="s">
        <v>167</v>
      </c>
    </row>
    <row r="16" spans="1:16" ht="12.75" customHeight="1" thickBot="1">
      <c r="A16" s="15" t="str">
        <f t="shared" si="0"/>
        <v> VSSC 60.22 </v>
      </c>
      <c r="B16" s="6" t="str">
        <f t="shared" si="1"/>
        <v>I</v>
      </c>
      <c r="C16" s="15">
        <f t="shared" si="2"/>
        <v>45170.46</v>
      </c>
      <c r="D16" s="19" t="str">
        <f t="shared" si="3"/>
        <v>vis</v>
      </c>
      <c r="E16" s="27">
        <f>VLOOKUP(C16,Active!C$21:E$973,3,FALSE)</f>
        <v>1529.9958222379216</v>
      </c>
      <c r="F16" s="6" t="s">
        <v>52</v>
      </c>
      <c r="G16" s="19" t="str">
        <f t="shared" si="4"/>
        <v>45170.460</v>
      </c>
      <c r="H16" s="15">
        <f t="shared" si="5"/>
        <v>1530</v>
      </c>
      <c r="I16" s="28" t="s">
        <v>168</v>
      </c>
      <c r="J16" s="29" t="s">
        <v>169</v>
      </c>
      <c r="K16" s="28">
        <v>1530</v>
      </c>
      <c r="L16" s="28" t="s">
        <v>170</v>
      </c>
      <c r="M16" s="29" t="s">
        <v>69</v>
      </c>
      <c r="N16" s="29"/>
      <c r="O16" s="30" t="s">
        <v>166</v>
      </c>
      <c r="P16" s="30" t="s">
        <v>171</v>
      </c>
    </row>
    <row r="17" spans="1:16" ht="12.75" customHeight="1" thickBot="1">
      <c r="A17" s="15" t="str">
        <f t="shared" si="0"/>
        <v>BAVM 38 </v>
      </c>
      <c r="B17" s="6" t="str">
        <f t="shared" si="1"/>
        <v>I</v>
      </c>
      <c r="C17" s="15">
        <f t="shared" si="2"/>
        <v>45641.510999999999</v>
      </c>
      <c r="D17" s="19" t="str">
        <f t="shared" si="3"/>
        <v>vis</v>
      </c>
      <c r="E17" s="27">
        <f>VLOOKUP(C17,Active!C$21:E$973,3,FALSE)</f>
        <v>1569.9945824955164</v>
      </c>
      <c r="F17" s="6" t="s">
        <v>52</v>
      </c>
      <c r="G17" s="19" t="str">
        <f t="shared" si="4"/>
        <v>45641.511</v>
      </c>
      <c r="H17" s="15">
        <f t="shared" si="5"/>
        <v>1570</v>
      </c>
      <c r="I17" s="28" t="s">
        <v>172</v>
      </c>
      <c r="J17" s="29" t="s">
        <v>173</v>
      </c>
      <c r="K17" s="28">
        <v>1570</v>
      </c>
      <c r="L17" s="28" t="s">
        <v>174</v>
      </c>
      <c r="M17" s="29" t="s">
        <v>54</v>
      </c>
      <c r="N17" s="29"/>
      <c r="O17" s="30" t="s">
        <v>175</v>
      </c>
      <c r="P17" s="31" t="s">
        <v>176</v>
      </c>
    </row>
    <row r="18" spans="1:16" ht="12.75" customHeight="1" thickBot="1">
      <c r="A18" s="15" t="str">
        <f t="shared" si="0"/>
        <v> BBS 83 </v>
      </c>
      <c r="B18" s="6" t="str">
        <f t="shared" si="1"/>
        <v>I</v>
      </c>
      <c r="C18" s="15">
        <f t="shared" si="2"/>
        <v>46866.284</v>
      </c>
      <c r="D18" s="19" t="str">
        <f t="shared" si="3"/>
        <v>vis</v>
      </c>
      <c r="E18" s="27">
        <f>VLOOKUP(C18,Active!C$21:E$973,3,FALSE)</f>
        <v>1673.994789685343</v>
      </c>
      <c r="F18" s="6" t="s">
        <v>52</v>
      </c>
      <c r="G18" s="19" t="str">
        <f t="shared" si="4"/>
        <v>46866.284</v>
      </c>
      <c r="H18" s="15">
        <f t="shared" si="5"/>
        <v>1674</v>
      </c>
      <c r="I18" s="28" t="s">
        <v>181</v>
      </c>
      <c r="J18" s="29" t="s">
        <v>182</v>
      </c>
      <c r="K18" s="28">
        <v>1674</v>
      </c>
      <c r="L18" s="28" t="s">
        <v>183</v>
      </c>
      <c r="M18" s="29" t="s">
        <v>69</v>
      </c>
      <c r="N18" s="29"/>
      <c r="O18" s="30" t="s">
        <v>184</v>
      </c>
      <c r="P18" s="30" t="s">
        <v>185</v>
      </c>
    </row>
    <row r="19" spans="1:16" ht="12.75" customHeight="1" thickBot="1">
      <c r="A19" s="15" t="str">
        <f t="shared" si="0"/>
        <v>BAVM 93 </v>
      </c>
      <c r="B19" s="6" t="str">
        <f t="shared" si="1"/>
        <v>I</v>
      </c>
      <c r="C19" s="15">
        <f t="shared" si="2"/>
        <v>49810.466999999997</v>
      </c>
      <c r="D19" s="19" t="str">
        <f t="shared" si="3"/>
        <v>vis</v>
      </c>
      <c r="E19" s="27">
        <f>VLOOKUP(C19,Active!C$21:E$973,3,FALSE)</f>
        <v>1923.9967427042004</v>
      </c>
      <c r="F19" s="6" t="s">
        <v>52</v>
      </c>
      <c r="G19" s="19" t="str">
        <f t="shared" si="4"/>
        <v>49810.467</v>
      </c>
      <c r="H19" s="15">
        <f t="shared" si="5"/>
        <v>1924</v>
      </c>
      <c r="I19" s="28" t="s">
        <v>190</v>
      </c>
      <c r="J19" s="29" t="s">
        <v>191</v>
      </c>
      <c r="K19" s="28">
        <v>1924</v>
      </c>
      <c r="L19" s="28" t="s">
        <v>192</v>
      </c>
      <c r="M19" s="29" t="s">
        <v>69</v>
      </c>
      <c r="N19" s="29"/>
      <c r="O19" s="30" t="s">
        <v>193</v>
      </c>
      <c r="P19" s="31" t="s">
        <v>194</v>
      </c>
    </row>
    <row r="20" spans="1:16" ht="12.75" customHeight="1" thickBot="1">
      <c r="A20" s="15" t="str">
        <f t="shared" si="0"/>
        <v> MVS 496 </v>
      </c>
      <c r="B20" s="6" t="str">
        <f t="shared" si="1"/>
        <v>I</v>
      </c>
      <c r="C20" s="15">
        <f t="shared" si="2"/>
        <v>25303.288</v>
      </c>
      <c r="D20" s="19" t="str">
        <f t="shared" si="3"/>
        <v>vis</v>
      </c>
      <c r="E20" s="27">
        <f>VLOOKUP(C20,Active!C$21:E$973,3,FALSE)</f>
        <v>-157.00250665724684</v>
      </c>
      <c r="F20" s="6" t="s">
        <v>52</v>
      </c>
      <c r="G20" s="19" t="str">
        <f t="shared" si="4"/>
        <v>25303.288</v>
      </c>
      <c r="H20" s="15">
        <f t="shared" si="5"/>
        <v>-157</v>
      </c>
      <c r="I20" s="28" t="s">
        <v>55</v>
      </c>
      <c r="J20" s="29" t="s">
        <v>56</v>
      </c>
      <c r="K20" s="28">
        <v>-157</v>
      </c>
      <c r="L20" s="28" t="s">
        <v>57</v>
      </c>
      <c r="M20" s="29" t="s">
        <v>58</v>
      </c>
      <c r="N20" s="29"/>
      <c r="O20" s="30" t="s">
        <v>59</v>
      </c>
      <c r="P20" s="30" t="s">
        <v>60</v>
      </c>
    </row>
    <row r="21" spans="1:16" ht="12.75" customHeight="1" thickBot="1">
      <c r="A21" s="15" t="str">
        <f t="shared" si="0"/>
        <v> AN 235.83 </v>
      </c>
      <c r="B21" s="6" t="str">
        <f t="shared" si="1"/>
        <v>I</v>
      </c>
      <c r="C21" s="15">
        <f t="shared" si="2"/>
        <v>25503.51</v>
      </c>
      <c r="D21" s="19" t="str">
        <f t="shared" si="3"/>
        <v>vis</v>
      </c>
      <c r="E21" s="27">
        <f>VLOOKUP(C21,Active!C$21:E$973,3,FALSE)</f>
        <v>-140.00088310417925</v>
      </c>
      <c r="F21" s="6" t="s">
        <v>52</v>
      </c>
      <c r="G21" s="19" t="str">
        <f t="shared" si="4"/>
        <v>25503.51</v>
      </c>
      <c r="H21" s="15">
        <f t="shared" si="5"/>
        <v>-140</v>
      </c>
      <c r="I21" s="28" t="s">
        <v>61</v>
      </c>
      <c r="J21" s="29" t="s">
        <v>62</v>
      </c>
      <c r="K21" s="28">
        <v>-140</v>
      </c>
      <c r="L21" s="28" t="s">
        <v>63</v>
      </c>
      <c r="M21" s="29" t="s">
        <v>58</v>
      </c>
      <c r="N21" s="29"/>
      <c r="O21" s="30" t="s">
        <v>64</v>
      </c>
      <c r="P21" s="30" t="s">
        <v>65</v>
      </c>
    </row>
    <row r="22" spans="1:16" ht="12.75" customHeight="1" thickBot="1">
      <c r="A22" s="15" t="str">
        <f t="shared" si="0"/>
        <v> AN 254.325 </v>
      </c>
      <c r="B22" s="6" t="str">
        <f t="shared" si="1"/>
        <v>I</v>
      </c>
      <c r="C22" s="15">
        <f t="shared" si="2"/>
        <v>25880.42</v>
      </c>
      <c r="D22" s="19" t="str">
        <f t="shared" si="3"/>
        <v>vis</v>
      </c>
      <c r="E22" s="27">
        <f>VLOOKUP(C22,Active!C$21:E$973,3,FALSE)</f>
        <v>-107.99599885875782</v>
      </c>
      <c r="F22" s="6" t="s">
        <v>52</v>
      </c>
      <c r="G22" s="19" t="str">
        <f t="shared" si="4"/>
        <v>25880.42</v>
      </c>
      <c r="H22" s="15">
        <f t="shared" si="5"/>
        <v>-108</v>
      </c>
      <c r="I22" s="28" t="s">
        <v>66</v>
      </c>
      <c r="J22" s="29" t="s">
        <v>67</v>
      </c>
      <c r="K22" s="28">
        <v>-108</v>
      </c>
      <c r="L22" s="28" t="s">
        <v>68</v>
      </c>
      <c r="M22" s="29" t="s">
        <v>69</v>
      </c>
      <c r="N22" s="29"/>
      <c r="O22" s="30" t="s">
        <v>70</v>
      </c>
      <c r="P22" s="30" t="s">
        <v>71</v>
      </c>
    </row>
    <row r="23" spans="1:16" ht="12.75" customHeight="1" thickBot="1">
      <c r="A23" s="15" t="str">
        <f t="shared" si="0"/>
        <v> AN 254.325 </v>
      </c>
      <c r="B23" s="6" t="str">
        <f t="shared" si="1"/>
        <v>I</v>
      </c>
      <c r="C23" s="15">
        <f t="shared" si="2"/>
        <v>27717.55</v>
      </c>
      <c r="D23" s="19" t="str">
        <f t="shared" si="3"/>
        <v>vis</v>
      </c>
      <c r="E23" s="27">
        <f>VLOOKUP(C23,Active!C$21:E$973,3,FALSE)</f>
        <v>48.001806967012598</v>
      </c>
      <c r="F23" s="6" t="s">
        <v>52</v>
      </c>
      <c r="G23" s="19" t="str">
        <f t="shared" si="4"/>
        <v>27717.55</v>
      </c>
      <c r="H23" s="15">
        <f t="shared" si="5"/>
        <v>48</v>
      </c>
      <c r="I23" s="28" t="s">
        <v>75</v>
      </c>
      <c r="J23" s="29" t="s">
        <v>76</v>
      </c>
      <c r="K23" s="28">
        <v>48</v>
      </c>
      <c r="L23" s="28" t="s">
        <v>77</v>
      </c>
      <c r="M23" s="29" t="s">
        <v>69</v>
      </c>
      <c r="N23" s="29"/>
      <c r="O23" s="30" t="s">
        <v>70</v>
      </c>
      <c r="P23" s="30" t="s">
        <v>71</v>
      </c>
    </row>
    <row r="24" spans="1:16" ht="12.75" customHeight="1" thickBot="1">
      <c r="A24" s="15" t="str">
        <f t="shared" si="0"/>
        <v> AN 260.293 </v>
      </c>
      <c r="B24" s="6" t="str">
        <f t="shared" si="1"/>
        <v>I</v>
      </c>
      <c r="C24" s="15">
        <f t="shared" si="2"/>
        <v>27776.428</v>
      </c>
      <c r="D24" s="19" t="str">
        <f t="shared" si="3"/>
        <v>vis</v>
      </c>
      <c r="E24" s="27">
        <f>VLOOKUP(C24,Active!C$21:E$973,3,FALSE)</f>
        <v>53.001365414923093</v>
      </c>
      <c r="F24" s="6" t="s">
        <v>52</v>
      </c>
      <c r="G24" s="19" t="str">
        <f t="shared" si="4"/>
        <v>27776.428</v>
      </c>
      <c r="H24" s="15">
        <f t="shared" si="5"/>
        <v>53</v>
      </c>
      <c r="I24" s="28" t="s">
        <v>78</v>
      </c>
      <c r="J24" s="29" t="s">
        <v>79</v>
      </c>
      <c r="K24" s="28">
        <v>53</v>
      </c>
      <c r="L24" s="28" t="s">
        <v>80</v>
      </c>
      <c r="M24" s="29" t="s">
        <v>69</v>
      </c>
      <c r="N24" s="29"/>
      <c r="O24" s="30" t="s">
        <v>81</v>
      </c>
      <c r="P24" s="30" t="s">
        <v>82</v>
      </c>
    </row>
    <row r="25" spans="1:16" ht="12.75" customHeight="1" thickBot="1">
      <c r="A25" s="15" t="str">
        <f t="shared" si="0"/>
        <v> AN 260.293 </v>
      </c>
      <c r="B25" s="6" t="str">
        <f t="shared" si="1"/>
        <v>I</v>
      </c>
      <c r="C25" s="15">
        <f t="shared" si="2"/>
        <v>28023.722000000002</v>
      </c>
      <c r="D25" s="19" t="str">
        <f t="shared" si="3"/>
        <v>vis</v>
      </c>
      <c r="E25" s="27">
        <f>VLOOKUP(C25,Active!C$21:E$973,3,FALSE)</f>
        <v>74.000054344872694</v>
      </c>
      <c r="F25" s="6" t="s">
        <v>52</v>
      </c>
      <c r="G25" s="19" t="str">
        <f t="shared" si="4"/>
        <v>28023.722</v>
      </c>
      <c r="H25" s="15">
        <f t="shared" si="5"/>
        <v>74</v>
      </c>
      <c r="I25" s="28" t="s">
        <v>83</v>
      </c>
      <c r="J25" s="29" t="s">
        <v>84</v>
      </c>
      <c r="K25" s="28">
        <v>74</v>
      </c>
      <c r="L25" s="28" t="s">
        <v>85</v>
      </c>
      <c r="M25" s="29" t="s">
        <v>69</v>
      </c>
      <c r="N25" s="29"/>
      <c r="O25" s="30" t="s">
        <v>81</v>
      </c>
      <c r="P25" s="30" t="s">
        <v>82</v>
      </c>
    </row>
    <row r="26" spans="1:16" ht="12.75" customHeight="1" thickBot="1">
      <c r="A26" s="15" t="str">
        <f t="shared" si="0"/>
        <v> AN 260.293 </v>
      </c>
      <c r="B26" s="6" t="str">
        <f t="shared" si="1"/>
        <v>I</v>
      </c>
      <c r="C26" s="15">
        <f t="shared" si="2"/>
        <v>28035.508999999998</v>
      </c>
      <c r="D26" s="19" t="str">
        <f t="shared" si="3"/>
        <v>vis</v>
      </c>
      <c r="E26" s="27">
        <f>VLOOKUP(C26,Active!C$21:E$973,3,FALSE)</f>
        <v>75.000934052496987</v>
      </c>
      <c r="F26" s="6" t="s">
        <v>52</v>
      </c>
      <c r="G26" s="19" t="str">
        <f t="shared" si="4"/>
        <v>28035.509</v>
      </c>
      <c r="H26" s="15">
        <f t="shared" si="5"/>
        <v>75</v>
      </c>
      <c r="I26" s="28" t="s">
        <v>86</v>
      </c>
      <c r="J26" s="29" t="s">
        <v>87</v>
      </c>
      <c r="K26" s="28">
        <v>75</v>
      </c>
      <c r="L26" s="28" t="s">
        <v>88</v>
      </c>
      <c r="M26" s="29" t="s">
        <v>69</v>
      </c>
      <c r="N26" s="29"/>
      <c r="O26" s="30" t="s">
        <v>81</v>
      </c>
      <c r="P26" s="30" t="s">
        <v>82</v>
      </c>
    </row>
    <row r="27" spans="1:16" ht="12.75" customHeight="1" thickBot="1">
      <c r="A27" s="15" t="str">
        <f t="shared" si="0"/>
        <v> AN 260.293 </v>
      </c>
      <c r="B27" s="6" t="str">
        <f t="shared" si="1"/>
        <v>I</v>
      </c>
      <c r="C27" s="15">
        <f t="shared" si="2"/>
        <v>28106.163</v>
      </c>
      <c r="D27" s="19" t="str">
        <f t="shared" si="3"/>
        <v>vis</v>
      </c>
      <c r="E27" s="27">
        <f>VLOOKUP(C27,Active!C$21:E$973,3,FALSE)</f>
        <v>81.000438155535065</v>
      </c>
      <c r="F27" s="6" t="s">
        <v>52</v>
      </c>
      <c r="G27" s="19" t="str">
        <f t="shared" si="4"/>
        <v>28106.163</v>
      </c>
      <c r="H27" s="15">
        <f t="shared" si="5"/>
        <v>81</v>
      </c>
      <c r="I27" s="28" t="s">
        <v>89</v>
      </c>
      <c r="J27" s="29" t="s">
        <v>90</v>
      </c>
      <c r="K27" s="28">
        <v>81</v>
      </c>
      <c r="L27" s="28" t="s">
        <v>91</v>
      </c>
      <c r="M27" s="29" t="s">
        <v>69</v>
      </c>
      <c r="N27" s="29"/>
      <c r="O27" s="30" t="s">
        <v>81</v>
      </c>
      <c r="P27" s="30" t="s">
        <v>82</v>
      </c>
    </row>
    <row r="28" spans="1:16" ht="12.75" customHeight="1" thickBot="1">
      <c r="A28" s="15" t="str">
        <f t="shared" si="0"/>
        <v> AN 260.293 </v>
      </c>
      <c r="B28" s="6" t="str">
        <f t="shared" si="1"/>
        <v>I</v>
      </c>
      <c r="C28" s="15">
        <f t="shared" si="2"/>
        <v>28153.277999999998</v>
      </c>
      <c r="D28" s="19" t="str">
        <f t="shared" si="3"/>
        <v>vis</v>
      </c>
      <c r="E28" s="27">
        <f>VLOOKUP(C28,Active!C$21:E$973,3,FALSE)</f>
        <v>85.001154828541786</v>
      </c>
      <c r="F28" s="6" t="s">
        <v>52</v>
      </c>
      <c r="G28" s="19" t="str">
        <f t="shared" si="4"/>
        <v>28153.278</v>
      </c>
      <c r="H28" s="15">
        <f t="shared" si="5"/>
        <v>85</v>
      </c>
      <c r="I28" s="28" t="s">
        <v>92</v>
      </c>
      <c r="J28" s="29" t="s">
        <v>93</v>
      </c>
      <c r="K28" s="28">
        <v>85</v>
      </c>
      <c r="L28" s="28" t="s">
        <v>94</v>
      </c>
      <c r="M28" s="29" t="s">
        <v>69</v>
      </c>
      <c r="N28" s="29"/>
      <c r="O28" s="30" t="s">
        <v>81</v>
      </c>
      <c r="P28" s="30" t="s">
        <v>82</v>
      </c>
    </row>
    <row r="29" spans="1:16" ht="12.75" customHeight="1" thickBot="1">
      <c r="A29" s="15" t="str">
        <f t="shared" si="0"/>
        <v> AN 260.293 </v>
      </c>
      <c r="B29" s="6" t="str">
        <f t="shared" si="1"/>
        <v>I</v>
      </c>
      <c r="C29" s="15">
        <f t="shared" si="2"/>
        <v>28212.135999999999</v>
      </c>
      <c r="D29" s="19" t="str">
        <f t="shared" si="3"/>
        <v>vis</v>
      </c>
      <c r="E29" s="27">
        <f>VLOOKUP(C29,Active!C$21:E$973,3,FALSE)</f>
        <v>89.999014999184709</v>
      </c>
      <c r="F29" s="6" t="s">
        <v>52</v>
      </c>
      <c r="G29" s="19" t="str">
        <f t="shared" si="4"/>
        <v>28212.136</v>
      </c>
      <c r="H29" s="15">
        <f t="shared" si="5"/>
        <v>90</v>
      </c>
      <c r="I29" s="28" t="s">
        <v>95</v>
      </c>
      <c r="J29" s="29" t="s">
        <v>96</v>
      </c>
      <c r="K29" s="28">
        <v>90</v>
      </c>
      <c r="L29" s="28" t="s">
        <v>97</v>
      </c>
      <c r="M29" s="29" t="s">
        <v>69</v>
      </c>
      <c r="N29" s="29"/>
      <c r="O29" s="30" t="s">
        <v>81</v>
      </c>
      <c r="P29" s="30" t="s">
        <v>82</v>
      </c>
    </row>
    <row r="30" spans="1:16" ht="12.75" customHeight="1" thickBot="1">
      <c r="A30" s="15" t="str">
        <f t="shared" si="0"/>
        <v> AN 260.293 </v>
      </c>
      <c r="B30" s="6" t="str">
        <f t="shared" si="1"/>
        <v>I</v>
      </c>
      <c r="C30" s="15">
        <f t="shared" si="2"/>
        <v>28247.455000000002</v>
      </c>
      <c r="D30" s="19" t="str">
        <f t="shared" si="3"/>
        <v>vis</v>
      </c>
      <c r="E30" s="27">
        <f>VLOOKUP(C30,Active!C$21:E$973,3,FALSE)</f>
        <v>92.998087739796901</v>
      </c>
      <c r="F30" s="6" t="s">
        <v>52</v>
      </c>
      <c r="G30" s="19" t="str">
        <f t="shared" si="4"/>
        <v>28247.455</v>
      </c>
      <c r="H30" s="15">
        <f t="shared" si="5"/>
        <v>93</v>
      </c>
      <c r="I30" s="28" t="s">
        <v>98</v>
      </c>
      <c r="J30" s="29" t="s">
        <v>99</v>
      </c>
      <c r="K30" s="28">
        <v>93</v>
      </c>
      <c r="L30" s="28" t="s">
        <v>100</v>
      </c>
      <c r="M30" s="29" t="s">
        <v>69</v>
      </c>
      <c r="N30" s="29"/>
      <c r="O30" s="30" t="s">
        <v>81</v>
      </c>
      <c r="P30" s="30" t="s">
        <v>82</v>
      </c>
    </row>
    <row r="31" spans="1:16" ht="12.75" customHeight="1" thickBot="1">
      <c r="A31" s="15" t="str">
        <f t="shared" si="0"/>
        <v> MVS 496 </v>
      </c>
      <c r="B31" s="6" t="str">
        <f t="shared" si="1"/>
        <v>I</v>
      </c>
      <c r="C31" s="15">
        <f t="shared" si="2"/>
        <v>28565.312999999998</v>
      </c>
      <c r="D31" s="19" t="str">
        <f t="shared" si="3"/>
        <v>vis</v>
      </c>
      <c r="E31" s="27">
        <f>VLOOKUP(C31,Active!C$21:E$973,3,FALSE)</f>
        <v>119.98863852508001</v>
      </c>
      <c r="F31" s="6" t="s">
        <v>52</v>
      </c>
      <c r="G31" s="19" t="str">
        <f t="shared" si="4"/>
        <v>28565.313</v>
      </c>
      <c r="H31" s="15">
        <f t="shared" si="5"/>
        <v>120</v>
      </c>
      <c r="I31" s="28" t="s">
        <v>101</v>
      </c>
      <c r="J31" s="29" t="s">
        <v>102</v>
      </c>
      <c r="K31" s="28">
        <v>120</v>
      </c>
      <c r="L31" s="28" t="s">
        <v>103</v>
      </c>
      <c r="M31" s="29" t="s">
        <v>58</v>
      </c>
      <c r="N31" s="29"/>
      <c r="O31" s="30" t="s">
        <v>59</v>
      </c>
      <c r="P31" s="30" t="s">
        <v>60</v>
      </c>
    </row>
    <row r="32" spans="1:16" ht="12.75" customHeight="1" thickBot="1">
      <c r="A32" s="15" t="str">
        <f t="shared" si="0"/>
        <v> HA 113.76 </v>
      </c>
      <c r="B32" s="6" t="str">
        <f t="shared" si="1"/>
        <v>I</v>
      </c>
      <c r="C32" s="15">
        <f t="shared" si="2"/>
        <v>29978.51</v>
      </c>
      <c r="D32" s="19" t="str">
        <f t="shared" si="3"/>
        <v>vis</v>
      </c>
      <c r="E32" s="27">
        <f>VLOOKUP(C32,Active!C$21:E$973,3,FALSE)</f>
        <v>239.98865550785268</v>
      </c>
      <c r="F32" s="6" t="s">
        <v>52</v>
      </c>
      <c r="G32" s="19" t="str">
        <f t="shared" si="4"/>
        <v>29978.510</v>
      </c>
      <c r="H32" s="15">
        <f t="shared" si="5"/>
        <v>240</v>
      </c>
      <c r="I32" s="28" t="s">
        <v>104</v>
      </c>
      <c r="J32" s="29" t="s">
        <v>105</v>
      </c>
      <c r="K32" s="28">
        <v>240</v>
      </c>
      <c r="L32" s="28" t="s">
        <v>103</v>
      </c>
      <c r="M32" s="29" t="s">
        <v>54</v>
      </c>
      <c r="N32" s="29"/>
      <c r="O32" s="30" t="s">
        <v>106</v>
      </c>
      <c r="P32" s="30" t="s">
        <v>107</v>
      </c>
    </row>
    <row r="33" spans="1:16" ht="12.75" customHeight="1" thickBot="1">
      <c r="A33" s="15" t="str">
        <f t="shared" si="0"/>
        <v> MVS 496 </v>
      </c>
      <c r="B33" s="6" t="str">
        <f t="shared" si="1"/>
        <v>I</v>
      </c>
      <c r="C33" s="15">
        <f t="shared" si="2"/>
        <v>30367.294000000002</v>
      </c>
      <c r="D33" s="19" t="str">
        <f t="shared" si="3"/>
        <v>vis</v>
      </c>
      <c r="E33" s="27">
        <f>VLOOKUP(C33,Active!C$21:E$973,3,FALSE)</f>
        <v>273.00180696701278</v>
      </c>
      <c r="F33" s="6" t="s">
        <v>52</v>
      </c>
      <c r="G33" s="19" t="str">
        <f t="shared" si="4"/>
        <v>30367.294</v>
      </c>
      <c r="H33" s="15">
        <f t="shared" si="5"/>
        <v>273</v>
      </c>
      <c r="I33" s="28" t="s">
        <v>108</v>
      </c>
      <c r="J33" s="29" t="s">
        <v>109</v>
      </c>
      <c r="K33" s="28">
        <v>273</v>
      </c>
      <c r="L33" s="28" t="s">
        <v>110</v>
      </c>
      <c r="M33" s="29" t="s">
        <v>58</v>
      </c>
      <c r="N33" s="29"/>
      <c r="O33" s="30" t="s">
        <v>59</v>
      </c>
      <c r="P33" s="30" t="s">
        <v>60</v>
      </c>
    </row>
    <row r="34" spans="1:16" ht="12.75" customHeight="1" thickBot="1">
      <c r="A34" s="15" t="str">
        <f t="shared" si="0"/>
        <v> MVS 496 </v>
      </c>
      <c r="B34" s="6" t="str">
        <f t="shared" si="1"/>
        <v>I</v>
      </c>
      <c r="C34" s="15">
        <f t="shared" si="2"/>
        <v>30614.553</v>
      </c>
      <c r="D34" s="19" t="str">
        <f t="shared" si="3"/>
        <v>vis</v>
      </c>
      <c r="E34" s="27">
        <f>VLOOKUP(C34,Active!C$21:E$973,3,FALSE)</f>
        <v>293.99752391174388</v>
      </c>
      <c r="F34" s="6" t="s">
        <v>52</v>
      </c>
      <c r="G34" s="19" t="str">
        <f t="shared" si="4"/>
        <v>30614.553</v>
      </c>
      <c r="H34" s="15">
        <f t="shared" si="5"/>
        <v>294</v>
      </c>
      <c r="I34" s="28" t="s">
        <v>111</v>
      </c>
      <c r="J34" s="29" t="s">
        <v>112</v>
      </c>
      <c r="K34" s="28">
        <v>294</v>
      </c>
      <c r="L34" s="28" t="s">
        <v>113</v>
      </c>
      <c r="M34" s="29" t="s">
        <v>58</v>
      </c>
      <c r="N34" s="29"/>
      <c r="O34" s="30" t="s">
        <v>59</v>
      </c>
      <c r="P34" s="30" t="s">
        <v>60</v>
      </c>
    </row>
    <row r="35" spans="1:16" ht="12.75" customHeight="1" thickBot="1">
      <c r="A35" s="15" t="str">
        <f t="shared" si="0"/>
        <v> AC 39.4 </v>
      </c>
      <c r="B35" s="6" t="str">
        <f t="shared" si="1"/>
        <v>I</v>
      </c>
      <c r="C35" s="15">
        <f t="shared" si="2"/>
        <v>30697.114000000001</v>
      </c>
      <c r="D35" s="19" t="str">
        <f t="shared" si="3"/>
        <v>vis</v>
      </c>
      <c r="E35" s="27">
        <f>VLOOKUP(C35,Active!C$21:E$973,3,FALSE)</f>
        <v>301.00809738601174</v>
      </c>
      <c r="F35" s="6" t="s">
        <v>52</v>
      </c>
      <c r="G35" s="19" t="str">
        <f t="shared" si="4"/>
        <v>30697.114</v>
      </c>
      <c r="H35" s="15">
        <f t="shared" si="5"/>
        <v>301</v>
      </c>
      <c r="I35" s="28" t="s">
        <v>114</v>
      </c>
      <c r="J35" s="29" t="s">
        <v>115</v>
      </c>
      <c r="K35" s="28">
        <v>301</v>
      </c>
      <c r="L35" s="28" t="s">
        <v>116</v>
      </c>
      <c r="M35" s="29" t="s">
        <v>58</v>
      </c>
      <c r="N35" s="29"/>
      <c r="O35" s="30" t="s">
        <v>117</v>
      </c>
      <c r="P35" s="30" t="s">
        <v>118</v>
      </c>
    </row>
    <row r="36" spans="1:16" ht="12.75" customHeight="1" thickBot="1">
      <c r="A36" s="15" t="str">
        <f t="shared" si="0"/>
        <v> MVS 496 </v>
      </c>
      <c r="B36" s="6" t="str">
        <f t="shared" si="1"/>
        <v>I</v>
      </c>
      <c r="C36" s="15">
        <f t="shared" si="2"/>
        <v>30991.464</v>
      </c>
      <c r="D36" s="19" t="str">
        <f t="shared" si="3"/>
        <v>vis</v>
      </c>
      <c r="E36" s="27">
        <f>VLOOKUP(C36,Active!C$21:E$973,3,FALSE)</f>
        <v>326.00249307102871</v>
      </c>
      <c r="F36" s="6" t="s">
        <v>52</v>
      </c>
      <c r="G36" s="19" t="str">
        <f t="shared" si="4"/>
        <v>30991.464</v>
      </c>
      <c r="H36" s="15">
        <f t="shared" si="5"/>
        <v>326</v>
      </c>
      <c r="I36" s="28" t="s">
        <v>119</v>
      </c>
      <c r="J36" s="29" t="s">
        <v>120</v>
      </c>
      <c r="K36" s="28">
        <v>326</v>
      </c>
      <c r="L36" s="28" t="s">
        <v>121</v>
      </c>
      <c r="M36" s="29" t="s">
        <v>58</v>
      </c>
      <c r="N36" s="29"/>
      <c r="O36" s="30" t="s">
        <v>59</v>
      </c>
      <c r="P36" s="30" t="s">
        <v>60</v>
      </c>
    </row>
    <row r="37" spans="1:16" ht="12.75" customHeight="1" thickBot="1">
      <c r="A37" s="15" t="str">
        <f t="shared" si="0"/>
        <v> AC 39.4 </v>
      </c>
      <c r="B37" s="6" t="str">
        <f t="shared" si="1"/>
        <v>I</v>
      </c>
      <c r="C37" s="15">
        <f t="shared" si="2"/>
        <v>31003.309000000001</v>
      </c>
      <c r="D37" s="19" t="str">
        <f t="shared" si="3"/>
        <v>vis</v>
      </c>
      <c r="E37" s="27">
        <f>VLOOKUP(C37,Active!C$21:E$973,3,FALSE)</f>
        <v>327.0082977827293</v>
      </c>
      <c r="F37" s="6" t="s">
        <v>52</v>
      </c>
      <c r="G37" s="19" t="str">
        <f t="shared" si="4"/>
        <v>31003.309</v>
      </c>
      <c r="H37" s="15">
        <f t="shared" si="5"/>
        <v>327</v>
      </c>
      <c r="I37" s="28" t="s">
        <v>122</v>
      </c>
      <c r="J37" s="29" t="s">
        <v>123</v>
      </c>
      <c r="K37" s="28">
        <v>327</v>
      </c>
      <c r="L37" s="28" t="s">
        <v>124</v>
      </c>
      <c r="M37" s="29" t="s">
        <v>58</v>
      </c>
      <c r="N37" s="29"/>
      <c r="O37" s="30" t="s">
        <v>117</v>
      </c>
      <c r="P37" s="30" t="s">
        <v>118</v>
      </c>
    </row>
    <row r="38" spans="1:16" ht="12.75" customHeight="1" thickBot="1">
      <c r="A38" s="15" t="str">
        <f t="shared" si="0"/>
        <v> MVS 496 </v>
      </c>
      <c r="B38" s="6" t="str">
        <f t="shared" si="1"/>
        <v>I</v>
      </c>
      <c r="C38" s="15">
        <f t="shared" si="2"/>
        <v>33570.42</v>
      </c>
      <c r="D38" s="19" t="str">
        <f t="shared" si="3"/>
        <v>vis</v>
      </c>
      <c r="E38" s="27">
        <f>VLOOKUP(C38,Active!C$21:E$973,3,FALSE)</f>
        <v>544.99161051029819</v>
      </c>
      <c r="F38" s="6" t="s">
        <v>52</v>
      </c>
      <c r="G38" s="19" t="str">
        <f t="shared" si="4"/>
        <v>33570.420</v>
      </c>
      <c r="H38" s="15">
        <f t="shared" si="5"/>
        <v>545</v>
      </c>
      <c r="I38" s="28" t="s">
        <v>125</v>
      </c>
      <c r="J38" s="29" t="s">
        <v>126</v>
      </c>
      <c r="K38" s="28">
        <v>545</v>
      </c>
      <c r="L38" s="28" t="s">
        <v>127</v>
      </c>
      <c r="M38" s="29" t="s">
        <v>58</v>
      </c>
      <c r="N38" s="29"/>
      <c r="O38" s="30" t="s">
        <v>59</v>
      </c>
      <c r="P38" s="30" t="s">
        <v>60</v>
      </c>
    </row>
    <row r="39" spans="1:16" ht="12.75" customHeight="1" thickBot="1">
      <c r="A39" s="15" t="str">
        <f t="shared" si="0"/>
        <v> AAC 5.195 </v>
      </c>
      <c r="B39" s="6" t="str">
        <f t="shared" si="1"/>
        <v>I</v>
      </c>
      <c r="C39" s="15">
        <f t="shared" si="2"/>
        <v>35019.160000000003</v>
      </c>
      <c r="D39" s="19" t="str">
        <f t="shared" si="3"/>
        <v>vis</v>
      </c>
      <c r="E39" s="27">
        <f>VLOOKUP(C39,Active!C$21:E$973,3,FALSE)</f>
        <v>668.00972093907967</v>
      </c>
      <c r="F39" s="6" t="s">
        <v>52</v>
      </c>
      <c r="G39" s="19" t="str">
        <f t="shared" si="4"/>
        <v>35019.16</v>
      </c>
      <c r="H39" s="15">
        <f t="shared" si="5"/>
        <v>668</v>
      </c>
      <c r="I39" s="28" t="s">
        <v>128</v>
      </c>
      <c r="J39" s="29" t="s">
        <v>129</v>
      </c>
      <c r="K39" s="28">
        <v>668</v>
      </c>
      <c r="L39" s="28" t="s">
        <v>130</v>
      </c>
      <c r="M39" s="29" t="s">
        <v>69</v>
      </c>
      <c r="N39" s="29"/>
      <c r="O39" s="30" t="s">
        <v>131</v>
      </c>
      <c r="P39" s="30" t="s">
        <v>132</v>
      </c>
    </row>
    <row r="40" spans="1:16" ht="12.75" customHeight="1" thickBot="1">
      <c r="A40" s="15" t="str">
        <f t="shared" si="0"/>
        <v> MVS 496 </v>
      </c>
      <c r="B40" s="6" t="str">
        <f t="shared" si="1"/>
        <v>I</v>
      </c>
      <c r="C40" s="15">
        <f t="shared" si="2"/>
        <v>36526.542999999998</v>
      </c>
      <c r="D40" s="19" t="str">
        <f t="shared" si="3"/>
        <v>vis</v>
      </c>
      <c r="E40" s="27">
        <f>VLOOKUP(C40,Active!C$21:E$973,3,FALSE)</f>
        <v>796.00743505787705</v>
      </c>
      <c r="F40" s="6" t="s">
        <v>52</v>
      </c>
      <c r="G40" s="19" t="str">
        <f t="shared" si="4"/>
        <v>36526.543</v>
      </c>
      <c r="H40" s="15">
        <f t="shared" si="5"/>
        <v>796</v>
      </c>
      <c r="I40" s="28" t="s">
        <v>133</v>
      </c>
      <c r="J40" s="29" t="s">
        <v>134</v>
      </c>
      <c r="K40" s="28">
        <v>796</v>
      </c>
      <c r="L40" s="28" t="s">
        <v>135</v>
      </c>
      <c r="M40" s="29" t="s">
        <v>58</v>
      </c>
      <c r="N40" s="29"/>
      <c r="O40" s="30" t="s">
        <v>59</v>
      </c>
      <c r="P40" s="30" t="s">
        <v>60</v>
      </c>
    </row>
    <row r="41" spans="1:16" ht="12.75" customHeight="1" thickBot="1">
      <c r="A41" s="15" t="str">
        <f t="shared" si="0"/>
        <v> MVS 496 </v>
      </c>
      <c r="B41" s="6" t="str">
        <f t="shared" si="1"/>
        <v>I</v>
      </c>
      <c r="C41" s="15">
        <f t="shared" si="2"/>
        <v>36608.571000000004</v>
      </c>
      <c r="D41" s="19" t="str">
        <f t="shared" si="3"/>
        <v>vis</v>
      </c>
      <c r="E41" s="27">
        <f>VLOOKUP(C41,Active!C$21:E$973,3,FALSE)</f>
        <v>802.97274944296532</v>
      </c>
      <c r="F41" s="6" t="s">
        <v>52</v>
      </c>
      <c r="G41" s="19" t="str">
        <f t="shared" si="4"/>
        <v>36608.571</v>
      </c>
      <c r="H41" s="15">
        <f t="shared" si="5"/>
        <v>803</v>
      </c>
      <c r="I41" s="28" t="s">
        <v>136</v>
      </c>
      <c r="J41" s="29" t="s">
        <v>137</v>
      </c>
      <c r="K41" s="28">
        <v>803</v>
      </c>
      <c r="L41" s="28" t="s">
        <v>138</v>
      </c>
      <c r="M41" s="29" t="s">
        <v>58</v>
      </c>
      <c r="N41" s="29"/>
      <c r="O41" s="30" t="s">
        <v>59</v>
      </c>
      <c r="P41" s="30" t="s">
        <v>60</v>
      </c>
    </row>
    <row r="42" spans="1:16" ht="12.75" customHeight="1" thickBot="1">
      <c r="A42" s="15" t="str">
        <f t="shared" si="0"/>
        <v> MVS 496 </v>
      </c>
      <c r="B42" s="6" t="str">
        <f t="shared" si="1"/>
        <v>I</v>
      </c>
      <c r="C42" s="15">
        <f t="shared" si="2"/>
        <v>36903.550999999999</v>
      </c>
      <c r="D42" s="19" t="str">
        <f t="shared" si="3"/>
        <v>vis</v>
      </c>
      <c r="E42" s="27">
        <f>VLOOKUP(C42,Active!C$21:E$973,3,FALSE)</f>
        <v>828.02064086190956</v>
      </c>
      <c r="F42" s="6" t="s">
        <v>52</v>
      </c>
      <c r="G42" s="19" t="str">
        <f t="shared" si="4"/>
        <v>36903.551</v>
      </c>
      <c r="H42" s="15">
        <f t="shared" si="5"/>
        <v>828</v>
      </c>
      <c r="I42" s="28" t="s">
        <v>139</v>
      </c>
      <c r="J42" s="29" t="s">
        <v>140</v>
      </c>
      <c r="K42" s="28">
        <v>828</v>
      </c>
      <c r="L42" s="28" t="s">
        <v>141</v>
      </c>
      <c r="M42" s="29" t="s">
        <v>58</v>
      </c>
      <c r="N42" s="29"/>
      <c r="O42" s="30" t="s">
        <v>59</v>
      </c>
      <c r="P42" s="30" t="s">
        <v>60</v>
      </c>
    </row>
    <row r="43" spans="1:16" ht="12.75" customHeight="1" thickBot="1">
      <c r="A43" s="15" t="str">
        <f t="shared" si="0"/>
        <v> PZ 17.451 </v>
      </c>
      <c r="B43" s="6" t="str">
        <f t="shared" si="1"/>
        <v>I</v>
      </c>
      <c r="C43" s="15">
        <f t="shared" si="2"/>
        <v>37409.58</v>
      </c>
      <c r="D43" s="19" t="str">
        <f t="shared" si="3"/>
        <v>vis</v>
      </c>
      <c r="E43" s="27">
        <f>VLOOKUP(C43,Active!C$21:E$973,3,FALSE)</f>
        <v>870.98951823270488</v>
      </c>
      <c r="F43" s="6" t="s">
        <v>52</v>
      </c>
      <c r="G43" s="19" t="str">
        <f t="shared" si="4"/>
        <v>37409.58</v>
      </c>
      <c r="H43" s="15">
        <f t="shared" si="5"/>
        <v>871</v>
      </c>
      <c r="I43" s="28" t="s">
        <v>142</v>
      </c>
      <c r="J43" s="29" t="s">
        <v>143</v>
      </c>
      <c r="K43" s="28">
        <v>871</v>
      </c>
      <c r="L43" s="28" t="s">
        <v>144</v>
      </c>
      <c r="M43" s="29" t="s">
        <v>54</v>
      </c>
      <c r="N43" s="29"/>
      <c r="O43" s="30" t="s">
        <v>145</v>
      </c>
      <c r="P43" s="30" t="s">
        <v>146</v>
      </c>
    </row>
    <row r="44" spans="1:16" ht="12.75" customHeight="1" thickBot="1">
      <c r="A44" s="15" t="str">
        <f t="shared" si="0"/>
        <v> HABZ 89 </v>
      </c>
      <c r="B44" s="6" t="str">
        <f t="shared" si="1"/>
        <v>I</v>
      </c>
      <c r="C44" s="15">
        <f t="shared" si="2"/>
        <v>39058.35</v>
      </c>
      <c r="D44" s="19" t="str">
        <f t="shared" si="3"/>
        <v>vis</v>
      </c>
      <c r="E44" s="27">
        <f>VLOOKUP(C44,Active!C$21:E$973,3,FALSE)</f>
        <v>1010.992948752785</v>
      </c>
      <c r="F44" s="6" t="s">
        <v>52</v>
      </c>
      <c r="G44" s="19" t="str">
        <f t="shared" si="4"/>
        <v>39058.350</v>
      </c>
      <c r="H44" s="15">
        <f t="shared" si="5"/>
        <v>1011</v>
      </c>
      <c r="I44" s="28" t="s">
        <v>147</v>
      </c>
      <c r="J44" s="29" t="s">
        <v>148</v>
      </c>
      <c r="K44" s="28">
        <v>1011</v>
      </c>
      <c r="L44" s="28" t="s">
        <v>149</v>
      </c>
      <c r="M44" s="29" t="s">
        <v>58</v>
      </c>
      <c r="N44" s="29"/>
      <c r="O44" s="30" t="s">
        <v>150</v>
      </c>
      <c r="P44" s="30" t="s">
        <v>151</v>
      </c>
    </row>
    <row r="45" spans="1:16" ht="12.75" customHeight="1" thickBot="1">
      <c r="A45" s="15" t="str">
        <f t="shared" si="0"/>
        <v> VSSC 68.33 </v>
      </c>
      <c r="B45" s="6" t="str">
        <f t="shared" si="1"/>
        <v>I</v>
      </c>
      <c r="C45" s="15">
        <f t="shared" si="2"/>
        <v>46383.436999999998</v>
      </c>
      <c r="D45" s="19" t="str">
        <f t="shared" si="3"/>
        <v>vis</v>
      </c>
      <c r="E45" s="27">
        <f>VLOOKUP(C45,Active!C$21:E$973,3,FALSE)</f>
        <v>1632.9943854953533</v>
      </c>
      <c r="F45" s="6" t="s">
        <v>52</v>
      </c>
      <c r="G45" s="19" t="str">
        <f t="shared" si="4"/>
        <v>46383.437</v>
      </c>
      <c r="H45" s="15">
        <f t="shared" si="5"/>
        <v>1633</v>
      </c>
      <c r="I45" s="28" t="s">
        <v>177</v>
      </c>
      <c r="J45" s="29" t="s">
        <v>178</v>
      </c>
      <c r="K45" s="28">
        <v>1633</v>
      </c>
      <c r="L45" s="28" t="s">
        <v>179</v>
      </c>
      <c r="M45" s="29" t="s">
        <v>69</v>
      </c>
      <c r="N45" s="29"/>
      <c r="O45" s="30" t="s">
        <v>166</v>
      </c>
      <c r="P45" s="30" t="s">
        <v>180</v>
      </c>
    </row>
    <row r="46" spans="1:16" ht="12.75" customHeight="1" thickBot="1">
      <c r="A46" s="15" t="str">
        <f t="shared" si="0"/>
        <v> VSSC 73 </v>
      </c>
      <c r="B46" s="6" t="str">
        <f t="shared" si="1"/>
        <v>I</v>
      </c>
      <c r="C46" s="15">
        <f t="shared" si="2"/>
        <v>47761.322999999997</v>
      </c>
      <c r="D46" s="19" t="str">
        <f t="shared" si="3"/>
        <v>vis</v>
      </c>
      <c r="E46" s="27">
        <f>VLOOKUP(C46,Active!C$21:E$973,3,FALSE)</f>
        <v>1749.996009048421</v>
      </c>
      <c r="F46" s="6" t="s">
        <v>52</v>
      </c>
      <c r="G46" s="19" t="str">
        <f t="shared" si="4"/>
        <v>47761.323</v>
      </c>
      <c r="H46" s="15">
        <f t="shared" si="5"/>
        <v>1750</v>
      </c>
      <c r="I46" s="28" t="s">
        <v>186</v>
      </c>
      <c r="J46" s="29" t="s">
        <v>187</v>
      </c>
      <c r="K46" s="28">
        <v>1750</v>
      </c>
      <c r="L46" s="28" t="s">
        <v>188</v>
      </c>
      <c r="M46" s="29" t="s">
        <v>69</v>
      </c>
      <c r="N46" s="29"/>
      <c r="O46" s="30" t="s">
        <v>166</v>
      </c>
      <c r="P46" s="30" t="s">
        <v>189</v>
      </c>
    </row>
    <row r="47" spans="1:16" ht="12.75" customHeight="1" thickBot="1">
      <c r="A47" s="15" t="str">
        <f t="shared" si="0"/>
        <v>BAVM 122 </v>
      </c>
      <c r="B47" s="6" t="str">
        <f t="shared" si="1"/>
        <v>I</v>
      </c>
      <c r="C47" s="15">
        <f t="shared" si="2"/>
        <v>51176.47</v>
      </c>
      <c r="D47" s="19" t="str">
        <f t="shared" si="3"/>
        <v>vis</v>
      </c>
      <c r="E47" s="27">
        <f>VLOOKUP(C47,Active!C$21:E$973,3,FALSE)</f>
        <v>2039.98933481876</v>
      </c>
      <c r="F47" s="6" t="s">
        <v>52</v>
      </c>
      <c r="G47" s="19" t="str">
        <f t="shared" si="4"/>
        <v>51176.47</v>
      </c>
      <c r="H47" s="15">
        <f t="shared" si="5"/>
        <v>2040</v>
      </c>
      <c r="I47" s="28" t="s">
        <v>195</v>
      </c>
      <c r="J47" s="29" t="s">
        <v>196</v>
      </c>
      <c r="K47" s="28">
        <v>2040</v>
      </c>
      <c r="L47" s="28" t="s">
        <v>197</v>
      </c>
      <c r="M47" s="29" t="s">
        <v>69</v>
      </c>
      <c r="N47" s="29"/>
      <c r="O47" s="30" t="s">
        <v>198</v>
      </c>
      <c r="P47" s="31" t="s">
        <v>199</v>
      </c>
    </row>
    <row r="48" spans="1:16" ht="12.75" customHeight="1" thickBot="1">
      <c r="A48" s="15" t="str">
        <f t="shared" si="0"/>
        <v>BAVM 131 </v>
      </c>
      <c r="B48" s="6" t="str">
        <f t="shared" si="1"/>
        <v>I</v>
      </c>
      <c r="C48" s="15">
        <f t="shared" si="2"/>
        <v>51459.13</v>
      </c>
      <c r="D48" s="19" t="str">
        <f t="shared" si="3"/>
        <v>vis</v>
      </c>
      <c r="E48" s="27">
        <f>VLOOKUP(C48,Active!C$21:E$973,3,FALSE)</f>
        <v>2063.9910874408997</v>
      </c>
      <c r="F48" s="6" t="s">
        <v>52</v>
      </c>
      <c r="G48" s="19" t="str">
        <f t="shared" si="4"/>
        <v>51459.130</v>
      </c>
      <c r="H48" s="15">
        <f t="shared" si="5"/>
        <v>2064</v>
      </c>
      <c r="I48" s="28" t="s">
        <v>200</v>
      </c>
      <c r="J48" s="29" t="s">
        <v>201</v>
      </c>
      <c r="K48" s="28">
        <v>2064</v>
      </c>
      <c r="L48" s="28" t="s">
        <v>202</v>
      </c>
      <c r="M48" s="29" t="s">
        <v>69</v>
      </c>
      <c r="N48" s="29"/>
      <c r="O48" s="30" t="s">
        <v>198</v>
      </c>
      <c r="P48" s="31" t="s">
        <v>203</v>
      </c>
    </row>
    <row r="49" spans="1:16" ht="12.75" customHeight="1" thickBot="1">
      <c r="A49" s="15" t="str">
        <f t="shared" si="0"/>
        <v>BAVM 157 </v>
      </c>
      <c r="B49" s="6" t="str">
        <f t="shared" si="1"/>
        <v>I</v>
      </c>
      <c r="C49" s="15">
        <f t="shared" si="2"/>
        <v>52542.434999999998</v>
      </c>
      <c r="D49" s="19" t="str">
        <f t="shared" si="3"/>
        <v>vis</v>
      </c>
      <c r="E49" s="27">
        <f>VLOOKUP(C49,Active!C$21:E$973,3,FALSE)</f>
        <v>2155.9787002065104</v>
      </c>
      <c r="F49" s="6" t="s">
        <v>52</v>
      </c>
      <c r="G49" s="19" t="str">
        <f t="shared" si="4"/>
        <v>52542.435</v>
      </c>
      <c r="H49" s="15">
        <f t="shared" si="5"/>
        <v>2156</v>
      </c>
      <c r="I49" s="28" t="s">
        <v>204</v>
      </c>
      <c r="J49" s="29" t="s">
        <v>205</v>
      </c>
      <c r="K49" s="28">
        <v>2156</v>
      </c>
      <c r="L49" s="28" t="s">
        <v>206</v>
      </c>
      <c r="M49" s="29" t="s">
        <v>69</v>
      </c>
      <c r="N49" s="29"/>
      <c r="O49" s="30" t="s">
        <v>207</v>
      </c>
      <c r="P49" s="31" t="s">
        <v>208</v>
      </c>
    </row>
    <row r="50" spans="1:16" ht="12.75" customHeight="1" thickBot="1">
      <c r="A50" s="15" t="str">
        <f t="shared" si="0"/>
        <v>BAVM 192 </v>
      </c>
      <c r="B50" s="6" t="str">
        <f t="shared" si="1"/>
        <v>I</v>
      </c>
      <c r="C50" s="15">
        <f t="shared" si="2"/>
        <v>53661.353999999999</v>
      </c>
      <c r="D50" s="19" t="str">
        <f t="shared" si="3"/>
        <v>vis</v>
      </c>
      <c r="E50" s="27">
        <f>VLOOKUP(C50,Active!C$21:E$973,3,FALSE)</f>
        <v>2250.990435302429</v>
      </c>
      <c r="F50" s="6" t="s">
        <v>52</v>
      </c>
      <c r="G50" s="19" t="str">
        <f t="shared" si="4"/>
        <v>53661.354</v>
      </c>
      <c r="H50" s="15">
        <f t="shared" si="5"/>
        <v>2251</v>
      </c>
      <c r="I50" s="28" t="s">
        <v>209</v>
      </c>
      <c r="J50" s="29" t="s">
        <v>210</v>
      </c>
      <c r="K50" s="28">
        <v>2251</v>
      </c>
      <c r="L50" s="28" t="s">
        <v>211</v>
      </c>
      <c r="M50" s="29" t="s">
        <v>69</v>
      </c>
      <c r="N50" s="29"/>
      <c r="O50" s="30" t="s">
        <v>198</v>
      </c>
      <c r="P50" s="31" t="s">
        <v>212</v>
      </c>
    </row>
    <row r="51" spans="1:16" ht="12.75" customHeight="1" thickBot="1">
      <c r="A51" s="15" t="str">
        <f t="shared" si="0"/>
        <v>BAVM 215 </v>
      </c>
      <c r="B51" s="6" t="str">
        <f t="shared" si="1"/>
        <v>I</v>
      </c>
      <c r="C51" s="15">
        <f t="shared" si="2"/>
        <v>55498.524799999999</v>
      </c>
      <c r="D51" s="19" t="str">
        <f t="shared" si="3"/>
        <v>vis</v>
      </c>
      <c r="E51" s="27">
        <f>VLOOKUP(C51,Active!C$21:E$973,3,FALSE)</f>
        <v>2406.9917056138252</v>
      </c>
      <c r="F51" s="6" t="s">
        <v>52</v>
      </c>
      <c r="G51" s="19" t="str">
        <f t="shared" si="4"/>
        <v>55498.5248</v>
      </c>
      <c r="H51" s="15">
        <f t="shared" si="5"/>
        <v>2407</v>
      </c>
      <c r="I51" s="28" t="s">
        <v>213</v>
      </c>
      <c r="J51" s="29" t="s">
        <v>214</v>
      </c>
      <c r="K51" s="28">
        <v>2407</v>
      </c>
      <c r="L51" s="28" t="s">
        <v>215</v>
      </c>
      <c r="M51" s="29" t="s">
        <v>216</v>
      </c>
      <c r="N51" s="29" t="s">
        <v>217</v>
      </c>
      <c r="O51" s="30" t="s">
        <v>218</v>
      </c>
      <c r="P51" s="31" t="s">
        <v>219</v>
      </c>
    </row>
    <row r="52" spans="1:16">
      <c r="B52" s="6"/>
      <c r="F52" s="6"/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</sheetData>
  <phoneticPr fontId="7" type="noConversion"/>
  <hyperlinks>
    <hyperlink ref="P14" r:id="rId1" display="http://www.bav-astro.de/sfs/BAVM_link.php?BAVMnr=32" xr:uid="{00000000-0004-0000-0100-000000000000}"/>
    <hyperlink ref="P17" r:id="rId2" display="http://www.bav-astro.de/sfs/BAVM_link.php?BAVMnr=38" xr:uid="{00000000-0004-0000-0100-000001000000}"/>
    <hyperlink ref="P19" r:id="rId3" display="http://www.bav-astro.de/sfs/BAVM_link.php?BAVMnr=93" xr:uid="{00000000-0004-0000-0100-000002000000}"/>
    <hyperlink ref="P47" r:id="rId4" display="http://www.bav-astro.de/sfs/BAVM_link.php?BAVMnr=122" xr:uid="{00000000-0004-0000-0100-000003000000}"/>
    <hyperlink ref="P48" r:id="rId5" display="http://www.bav-astro.de/sfs/BAVM_link.php?BAVMnr=131" xr:uid="{00000000-0004-0000-0100-000004000000}"/>
    <hyperlink ref="P49" r:id="rId6" display="http://www.bav-astro.de/sfs/BAVM_link.php?BAVMnr=157" xr:uid="{00000000-0004-0000-0100-000005000000}"/>
    <hyperlink ref="P50" r:id="rId7" display="http://www.bav-astro.de/sfs/BAVM_link.php?BAVMnr=192" xr:uid="{00000000-0004-0000-0100-000006000000}"/>
    <hyperlink ref="P51" r:id="rId8" display="http://www.bav-astro.de/sfs/BAVM_link.php?BAVMnr=215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2023-12-30T07:24:00Z</dcterms:modified>
</cp:coreProperties>
</file>