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66C3F7-5065-40AC-B52E-DCA7B6D5E80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2" i="1" l="1"/>
  <c r="F82" i="1" s="1"/>
  <c r="G82" i="1" s="1"/>
  <c r="I82" i="1" s="1"/>
  <c r="Q82" i="1"/>
  <c r="Q78" i="1"/>
  <c r="E23" i="1"/>
  <c r="F23" i="1"/>
  <c r="E32" i="1"/>
  <c r="F32" i="1"/>
  <c r="E40" i="1"/>
  <c r="F40" i="1"/>
  <c r="E48" i="1"/>
  <c r="F48" i="1"/>
  <c r="E58" i="1"/>
  <c r="F58" i="1"/>
  <c r="E78" i="1"/>
  <c r="F78" i="1"/>
  <c r="E64" i="1"/>
  <c r="F64" i="1"/>
  <c r="E79" i="1"/>
  <c r="F79" i="1"/>
  <c r="Q76" i="1"/>
  <c r="Q74" i="1"/>
  <c r="Q73" i="1"/>
  <c r="Q72" i="1"/>
  <c r="Q71" i="1"/>
  <c r="Q70" i="1"/>
  <c r="Q59" i="1"/>
  <c r="Q58" i="1"/>
  <c r="Q57" i="1"/>
  <c r="Q55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G22" i="2"/>
  <c r="C22" i="2"/>
  <c r="G21" i="2"/>
  <c r="C21" i="2"/>
  <c r="G20" i="2"/>
  <c r="C20" i="2"/>
  <c r="E20" i="2"/>
  <c r="G65" i="2"/>
  <c r="C65" i="2"/>
  <c r="E65" i="2"/>
  <c r="G19" i="2"/>
  <c r="C19" i="2"/>
  <c r="G64" i="2"/>
  <c r="C64" i="2"/>
  <c r="G63" i="2"/>
  <c r="C63" i="2"/>
  <c r="G62" i="2"/>
  <c r="C62" i="2"/>
  <c r="G61" i="2"/>
  <c r="C61" i="2"/>
  <c r="G60" i="2"/>
  <c r="C60" i="2"/>
  <c r="G59" i="2"/>
  <c r="C59" i="2"/>
  <c r="G18" i="2"/>
  <c r="C18" i="2"/>
  <c r="G17" i="2"/>
  <c r="C17" i="2"/>
  <c r="E17" i="2"/>
  <c r="G16" i="2"/>
  <c r="C16" i="2"/>
  <c r="G15" i="2"/>
  <c r="C15" i="2"/>
  <c r="G14" i="2"/>
  <c r="C14" i="2"/>
  <c r="G13" i="2"/>
  <c r="C13" i="2"/>
  <c r="G58" i="2"/>
  <c r="C58" i="2"/>
  <c r="G57" i="2"/>
  <c r="C57" i="2"/>
  <c r="E57" i="2"/>
  <c r="G56" i="2"/>
  <c r="C56" i="2"/>
  <c r="G12" i="2"/>
  <c r="C12" i="2"/>
  <c r="G55" i="2"/>
  <c r="C55" i="2"/>
  <c r="G11" i="2"/>
  <c r="C11" i="2"/>
  <c r="G54" i="2"/>
  <c r="C54" i="2"/>
  <c r="G53" i="2"/>
  <c r="C53" i="2"/>
  <c r="G52" i="2"/>
  <c r="C52" i="2"/>
  <c r="G51" i="2"/>
  <c r="C51" i="2"/>
  <c r="G50" i="2"/>
  <c r="C50" i="2"/>
  <c r="G49" i="2"/>
  <c r="C49" i="2"/>
  <c r="E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E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H22" i="2"/>
  <c r="B22" i="2"/>
  <c r="D22" i="2"/>
  <c r="A22" i="2"/>
  <c r="H21" i="2"/>
  <c r="D21" i="2"/>
  <c r="B21" i="2"/>
  <c r="A21" i="2"/>
  <c r="H20" i="2"/>
  <c r="B20" i="2"/>
  <c r="D20" i="2"/>
  <c r="A20" i="2"/>
  <c r="H65" i="2"/>
  <c r="D65" i="2"/>
  <c r="B65" i="2"/>
  <c r="A65" i="2"/>
  <c r="H19" i="2"/>
  <c r="B19" i="2"/>
  <c r="D19" i="2"/>
  <c r="A19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58" i="2"/>
  <c r="D58" i="2"/>
  <c r="B58" i="2"/>
  <c r="A58" i="2"/>
  <c r="H57" i="2"/>
  <c r="B57" i="2"/>
  <c r="D57" i="2"/>
  <c r="A57" i="2"/>
  <c r="H56" i="2"/>
  <c r="D56" i="2"/>
  <c r="B56" i="2"/>
  <c r="A56" i="2"/>
  <c r="H12" i="2"/>
  <c r="B12" i="2"/>
  <c r="D12" i="2"/>
  <c r="A12" i="2"/>
  <c r="H55" i="2"/>
  <c r="D55" i="2"/>
  <c r="B55" i="2"/>
  <c r="A55" i="2"/>
  <c r="H11" i="2"/>
  <c r="B11" i="2"/>
  <c r="D11" i="2"/>
  <c r="A11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F11" i="1"/>
  <c r="Q81" i="1"/>
  <c r="Q80" i="1"/>
  <c r="G11" i="1"/>
  <c r="E14" i="1"/>
  <c r="E15" i="1" s="1"/>
  <c r="C17" i="1"/>
  <c r="Q79" i="1"/>
  <c r="Q61" i="1"/>
  <c r="Q66" i="1"/>
  <c r="Q67" i="1"/>
  <c r="Q68" i="1"/>
  <c r="Q69" i="1"/>
  <c r="Q75" i="1"/>
  <c r="Q54" i="1"/>
  <c r="Q56" i="1"/>
  <c r="Q60" i="1"/>
  <c r="Q62" i="1"/>
  <c r="Q63" i="1"/>
  <c r="Q64" i="1"/>
  <c r="Q65" i="1"/>
  <c r="Q77" i="1"/>
  <c r="C28" i="1"/>
  <c r="E28" i="1"/>
  <c r="F28" i="1"/>
  <c r="C8" i="1"/>
  <c r="C7" i="1"/>
  <c r="E26" i="1"/>
  <c r="F26" i="1"/>
  <c r="Q28" i="1"/>
  <c r="E27" i="2"/>
  <c r="E40" i="2"/>
  <c r="E60" i="2"/>
  <c r="E28" i="2"/>
  <c r="E61" i="2"/>
  <c r="E47" i="2"/>
  <c r="E56" i="2"/>
  <c r="E24" i="2"/>
  <c r="E35" i="2"/>
  <c r="E53" i="2"/>
  <c r="E63" i="2"/>
  <c r="E21" i="2"/>
  <c r="E31" i="2"/>
  <c r="E64" i="2"/>
  <c r="E32" i="2"/>
  <c r="E37" i="2"/>
  <c r="E26" i="2"/>
  <c r="E43" i="2"/>
  <c r="E13" i="2"/>
  <c r="E44" i="2"/>
  <c r="E14" i="2"/>
  <c r="E59" i="2"/>
  <c r="G77" i="1"/>
  <c r="I77" i="1"/>
  <c r="E69" i="1"/>
  <c r="F69" i="1"/>
  <c r="G63" i="1"/>
  <c r="K63" i="1"/>
  <c r="E61" i="1"/>
  <c r="F61" i="1"/>
  <c r="G76" i="1"/>
  <c r="L76" i="1"/>
  <c r="E73" i="1"/>
  <c r="F73" i="1"/>
  <c r="G57" i="1"/>
  <c r="L57" i="1"/>
  <c r="E53" i="1"/>
  <c r="F53" i="1"/>
  <c r="G47" i="1"/>
  <c r="L47" i="1"/>
  <c r="E45" i="1"/>
  <c r="F45" i="1"/>
  <c r="G39" i="1"/>
  <c r="L39" i="1"/>
  <c r="E37" i="1"/>
  <c r="F37" i="1"/>
  <c r="G31" i="1"/>
  <c r="L31" i="1"/>
  <c r="E29" i="1"/>
  <c r="F29" i="1"/>
  <c r="G22" i="1"/>
  <c r="L22" i="1"/>
  <c r="E81" i="1"/>
  <c r="F81" i="1"/>
  <c r="G81" i="1"/>
  <c r="I81" i="1"/>
  <c r="G68" i="1"/>
  <c r="J68" i="1"/>
  <c r="E66" i="1"/>
  <c r="F66" i="1"/>
  <c r="G66" i="1"/>
  <c r="J66" i="1"/>
  <c r="G60" i="1"/>
  <c r="K60" i="1"/>
  <c r="E54" i="1"/>
  <c r="F54" i="1"/>
  <c r="G54" i="1"/>
  <c r="K54" i="1"/>
  <c r="G72" i="1"/>
  <c r="L72" i="1"/>
  <c r="E70" i="1"/>
  <c r="F70" i="1"/>
  <c r="G70" i="1"/>
  <c r="L70" i="1"/>
  <c r="G52" i="1"/>
  <c r="L52" i="1"/>
  <c r="E50" i="1"/>
  <c r="F50" i="1"/>
  <c r="G50" i="1"/>
  <c r="L50" i="1"/>
  <c r="G44" i="1"/>
  <c r="L44" i="1"/>
  <c r="E42" i="1"/>
  <c r="F42" i="1"/>
  <c r="G42" i="1"/>
  <c r="L42" i="1"/>
  <c r="G36" i="1"/>
  <c r="L36" i="1"/>
  <c r="E34" i="1"/>
  <c r="F34" i="1"/>
  <c r="G34" i="1"/>
  <c r="L34" i="1"/>
  <c r="G27" i="1"/>
  <c r="L27" i="1"/>
  <c r="E25" i="1"/>
  <c r="F25" i="1"/>
  <c r="G25" i="1"/>
  <c r="L25" i="1"/>
  <c r="G80" i="1"/>
  <c r="I80" i="1"/>
  <c r="E77" i="1"/>
  <c r="F77" i="1"/>
  <c r="G65" i="1"/>
  <c r="K65" i="1"/>
  <c r="E63" i="1"/>
  <c r="F63" i="1"/>
  <c r="G28" i="1"/>
  <c r="H28" i="1"/>
  <c r="E76" i="1"/>
  <c r="F76" i="1"/>
  <c r="G59" i="1"/>
  <c r="L59" i="1"/>
  <c r="E57" i="1"/>
  <c r="F57" i="1"/>
  <c r="E47" i="1"/>
  <c r="F47" i="1"/>
  <c r="G41" i="1"/>
  <c r="L41" i="1"/>
  <c r="E39" i="1"/>
  <c r="F39" i="1"/>
  <c r="E31" i="1"/>
  <c r="F31" i="1"/>
  <c r="G24" i="1"/>
  <c r="L24" i="1"/>
  <c r="E22" i="1"/>
  <c r="F22" i="1"/>
  <c r="G75" i="1"/>
  <c r="J75" i="1"/>
  <c r="E68" i="1"/>
  <c r="F68" i="1"/>
  <c r="G62" i="1"/>
  <c r="K62" i="1"/>
  <c r="E60" i="1"/>
  <c r="F60" i="1"/>
  <c r="G74" i="1"/>
  <c r="L74" i="1"/>
  <c r="E72" i="1"/>
  <c r="F72" i="1"/>
  <c r="G55" i="1"/>
  <c r="L55" i="1"/>
  <c r="E52" i="1"/>
  <c r="F52" i="1"/>
  <c r="G46" i="1"/>
  <c r="L46" i="1"/>
  <c r="E44" i="1"/>
  <c r="F44" i="1"/>
  <c r="G38" i="1"/>
  <c r="L38" i="1"/>
  <c r="E36" i="1"/>
  <c r="F36" i="1"/>
  <c r="G30" i="1"/>
  <c r="L30" i="1"/>
  <c r="E27" i="1"/>
  <c r="F27" i="1"/>
  <c r="G21" i="1"/>
  <c r="E80" i="1"/>
  <c r="F80" i="1"/>
  <c r="G67" i="1"/>
  <c r="J67" i="1"/>
  <c r="E65" i="1"/>
  <c r="F65" i="1"/>
  <c r="G56" i="1"/>
  <c r="K56" i="1"/>
  <c r="E59" i="1"/>
  <c r="F59" i="1"/>
  <c r="E49" i="1"/>
  <c r="F49" i="1"/>
  <c r="G49" i="1"/>
  <c r="L49" i="1"/>
  <c r="E41" i="1"/>
  <c r="F41" i="1"/>
  <c r="E33" i="1"/>
  <c r="F33" i="1"/>
  <c r="G33" i="1"/>
  <c r="L33" i="1"/>
  <c r="G26" i="1"/>
  <c r="L26" i="1"/>
  <c r="E24" i="1"/>
  <c r="F24" i="1"/>
  <c r="G79" i="1"/>
  <c r="I79" i="1"/>
  <c r="E75" i="1"/>
  <c r="F75" i="1"/>
  <c r="G64" i="1"/>
  <c r="K64" i="1"/>
  <c r="E62" i="1"/>
  <c r="F62" i="1"/>
  <c r="G78" i="1"/>
  <c r="L78" i="1"/>
  <c r="E74" i="1"/>
  <c r="F74" i="1"/>
  <c r="G58" i="1"/>
  <c r="L58" i="1"/>
  <c r="E55" i="1"/>
  <c r="F55" i="1"/>
  <c r="G48" i="1"/>
  <c r="L48" i="1"/>
  <c r="E46" i="1"/>
  <c r="F46" i="1"/>
  <c r="G40" i="1"/>
  <c r="L40" i="1"/>
  <c r="E38" i="1"/>
  <c r="F38" i="1"/>
  <c r="G32" i="1"/>
  <c r="L32" i="1"/>
  <c r="E30" i="1"/>
  <c r="F30" i="1"/>
  <c r="G23" i="1"/>
  <c r="L23" i="1"/>
  <c r="E21" i="1"/>
  <c r="F21" i="1"/>
  <c r="G69" i="1"/>
  <c r="J69" i="1"/>
  <c r="E67" i="1"/>
  <c r="F67" i="1"/>
  <c r="G61" i="1"/>
  <c r="I61" i="1"/>
  <c r="E56" i="1"/>
  <c r="F56" i="1"/>
  <c r="G73" i="1"/>
  <c r="L73" i="1"/>
  <c r="E71" i="1"/>
  <c r="F71" i="1"/>
  <c r="G71" i="1"/>
  <c r="L71" i="1"/>
  <c r="G53" i="1"/>
  <c r="L53" i="1"/>
  <c r="E51" i="1"/>
  <c r="F51" i="1"/>
  <c r="G51" i="1"/>
  <c r="L51" i="1"/>
  <c r="G45" i="1"/>
  <c r="L45" i="1"/>
  <c r="E43" i="1"/>
  <c r="F43" i="1"/>
  <c r="G43" i="1"/>
  <c r="L43" i="1"/>
  <c r="G37" i="1"/>
  <c r="L37" i="1"/>
  <c r="E35" i="1"/>
  <c r="F35" i="1"/>
  <c r="G35" i="1"/>
  <c r="L35" i="1"/>
  <c r="G29" i="1"/>
  <c r="L29" i="1"/>
  <c r="E23" i="2"/>
  <c r="E50" i="2"/>
  <c r="E38" i="2"/>
  <c r="E54" i="2"/>
  <c r="E48" i="2"/>
  <c r="E29" i="2"/>
  <c r="E39" i="2"/>
  <c r="E18" i="2"/>
  <c r="E22" i="2"/>
  <c r="E30" i="2"/>
  <c r="E16" i="2"/>
  <c r="E15" i="2"/>
  <c r="E42" i="2"/>
  <c r="E51" i="2"/>
  <c r="E12" i="2"/>
  <c r="L21" i="1"/>
  <c r="E58" i="2"/>
  <c r="E19" i="2"/>
  <c r="E11" i="2"/>
  <c r="E36" i="2"/>
  <c r="E62" i="2"/>
  <c r="E46" i="2"/>
  <c r="E45" i="2"/>
  <c r="E34" i="2"/>
  <c r="E55" i="2"/>
  <c r="E52" i="2"/>
  <c r="C11" i="1"/>
  <c r="C12" i="1"/>
  <c r="O82" i="1" l="1"/>
  <c r="O75" i="1"/>
  <c r="O64" i="1"/>
  <c r="O71" i="1"/>
  <c r="O51" i="1"/>
  <c r="O68" i="1"/>
  <c r="O81" i="1"/>
  <c r="O27" i="1"/>
  <c r="O58" i="1"/>
  <c r="O55" i="1"/>
  <c r="O32" i="1"/>
  <c r="O47" i="1"/>
  <c r="C16" i="1"/>
  <c r="D18" i="1" s="1"/>
  <c r="O36" i="1"/>
  <c r="O28" i="1"/>
  <c r="O50" i="1"/>
  <c r="O69" i="1"/>
  <c r="O62" i="1"/>
  <c r="O79" i="1"/>
  <c r="O67" i="1"/>
  <c r="O63" i="1"/>
  <c r="O59" i="1"/>
  <c r="O73" i="1"/>
  <c r="O76" i="1"/>
  <c r="O49" i="1"/>
  <c r="O41" i="1"/>
  <c r="O22" i="1"/>
  <c r="O30" i="1"/>
  <c r="O57" i="1"/>
  <c r="O54" i="1"/>
  <c r="O48" i="1"/>
  <c r="O24" i="1"/>
  <c r="O40" i="1"/>
  <c r="O60" i="1"/>
  <c r="O56" i="1"/>
  <c r="O72" i="1"/>
  <c r="O31" i="1"/>
  <c r="O43" i="1"/>
  <c r="O35" i="1"/>
  <c r="O21" i="1"/>
  <c r="O26" i="1"/>
  <c r="O23" i="1"/>
  <c r="O65" i="1"/>
  <c r="O38" i="1"/>
  <c r="O78" i="1"/>
  <c r="O45" i="1"/>
  <c r="O66" i="1"/>
  <c r="O42" i="1"/>
  <c r="O34" i="1"/>
  <c r="O74" i="1"/>
  <c r="O39" i="1"/>
  <c r="O37" i="1"/>
  <c r="O61" i="1"/>
  <c r="O77" i="1"/>
  <c r="C15" i="1"/>
  <c r="O53" i="1"/>
  <c r="O33" i="1"/>
  <c r="O52" i="1"/>
  <c r="O80" i="1"/>
  <c r="O25" i="1"/>
  <c r="O46" i="1"/>
  <c r="O44" i="1"/>
  <c r="O29" i="1"/>
  <c r="O70" i="1"/>
  <c r="E16" i="1" l="1"/>
  <c r="E17" i="1" s="1"/>
  <c r="C18" i="1"/>
</calcChain>
</file>

<file path=xl/sharedStrings.xml><?xml version="1.0" encoding="utf-8"?>
<sst xmlns="http://schemas.openxmlformats.org/spreadsheetml/2006/main" count="561" uniqueCount="281">
  <si>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</si>
  <si>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</si>
  <si>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</si>
  <si>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</si>
  <si>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</si>
  <si>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</si>
  <si>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</si>
  <si>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</si>
  <si>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</si>
  <si>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</si>
  <si>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</si>
  <si>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</si>
  <si>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</si>
  <si>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</si>
  <si>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</si>
  <si>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</si>
  <si>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</si>
  <si>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</si>
  <si>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</si>
  <si>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</si>
  <si>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</si>
  <si>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</si>
  <si>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</si>
  <si>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</si>
  <si>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</si>
  <si>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</si>
  <si>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</si>
  <si>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</si>
  <si>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</si>
  <si>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LS Per / GSC 02846-00368</t>
  </si>
  <si>
    <t>EA/SD</t>
  </si>
  <si>
    <t>A7 IV</t>
  </si>
  <si>
    <t>IBVS 3877</t>
  </si>
  <si>
    <t>Guilbault, Peter</t>
  </si>
  <si>
    <t>BBSAG Bull.86</t>
  </si>
  <si>
    <t>BBSAG Bull.90</t>
  </si>
  <si>
    <t>BBSAG Bull.99</t>
  </si>
  <si>
    <t>BBSAG Bull.103</t>
  </si>
  <si>
    <t>BBSAG Bull.107</t>
  </si>
  <si>
    <t>BBSAG Bull.106</t>
  </si>
  <si>
    <t>BBSAG Bull.114</t>
  </si>
  <si>
    <t>IBVS 5694</t>
  </si>
  <si>
    <t>I</t>
  </si>
  <si>
    <t>Guilbault</t>
  </si>
  <si>
    <t>BBSAG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</si>
  <si>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</si>
  <si>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</si>
  <si>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</si>
  <si>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</si>
  <si>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</si>
  <si>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</si>
  <si>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</si>
  <si>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</si>
  <si>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5894</t>
  </si>
  <si>
    <t>Add cycle</t>
  </si>
  <si>
    <t>Old Cycle</t>
  </si>
  <si>
    <t>IBVS 5960</t>
  </si>
  <si>
    <t>IBVS 6093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</si>
  <si>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</si>
  <si>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</si>
  <si>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</si>
  <si>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</si>
  <si>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</si>
  <si>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</si>
  <si>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</si>
  <si>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</si>
  <si>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</si>
  <si>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</si>
  <si>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</si>
  <si>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</si>
  <si>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2432441.525 </t>
  </si>
  <si>
    <t> 13.09.1947 00:36 </t>
  </si>
  <si>
    <t> -0.067 </t>
  </si>
  <si>
    <t>P </t>
  </si>
  <si>
    <t> Wenzel &amp; Wicklein </t>
  </si>
  <si>
    <t> MVS 12.113 </t>
  </si>
  <si>
    <t>2432444.474 </t>
  </si>
  <si>
    <t> 15.09.1947 23:22 </t>
  </si>
  <si>
    <t> -0.034 </t>
  </si>
  <si>
    <t>2436526.543 </t>
  </si>
  <si>
    <t> 19.11.1958 01:01 </t>
  </si>
  <si>
    <t> 0.065 </t>
  </si>
  <si>
    <t>2438433.340 </t>
  </si>
  <si>
    <t> 07.02.1964 20:09 </t>
  </si>
  <si>
    <t> -0.001 </t>
  </si>
  <si>
    <t> R.Weber </t>
  </si>
  <si>
    <t>IBVS 64 </t>
  </si>
  <si>
    <t>2438669.469 </t>
  </si>
  <si>
    <t> 30.09.1964 23:15 </t>
  </si>
  <si>
    <t> -0.043 </t>
  </si>
  <si>
    <t> N.E.Kurochkin </t>
  </si>
  <si>
    <t> PZ 18.85 </t>
  </si>
  <si>
    <t>2438739.521 </t>
  </si>
  <si>
    <t> 10.12.1964 00:30 </t>
  </si>
  <si>
    <t> 0.032 </t>
  </si>
  <si>
    <t> H.Busch </t>
  </si>
  <si>
    <t> MHAR 12.10 </t>
  </si>
  <si>
    <t>2439395.519 </t>
  </si>
  <si>
    <t> 27.09.1966 00:27 </t>
  </si>
  <si>
    <t>2440503.490 </t>
  </si>
  <si>
    <t> 08.10.1969 23:45 </t>
  </si>
  <si>
    <t> 0.007 </t>
  </si>
  <si>
    <t>2440506.388 </t>
  </si>
  <si>
    <t> 11.10.1969 21:18 </t>
  </si>
  <si>
    <t> -0.011 </t>
  </si>
  <si>
    <t>2440917.453 </t>
  </si>
  <si>
    <t> 26.11.1970 22:52 </t>
  </si>
  <si>
    <t> -0.059 </t>
  </si>
  <si>
    <t>2441337.355 </t>
  </si>
  <si>
    <t> 20.01.1972 20:31 </t>
  </si>
  <si>
    <t> -0.017 </t>
  </si>
  <si>
    <t>2441573.512 </t>
  </si>
  <si>
    <t> 13.09.1972 00:17 </t>
  </si>
  <si>
    <t> -0.031 </t>
  </si>
  <si>
    <t>2441990.473 </t>
  </si>
  <si>
    <t> 03.11.1973 23:21 </t>
  </si>
  <si>
    <t> -0.014 </t>
  </si>
  <si>
    <t>2442095.286 </t>
  </si>
  <si>
    <t> 16.02.1974 18:51 </t>
  </si>
  <si>
    <t> -0.166 </t>
  </si>
  <si>
    <t>2442302.512 </t>
  </si>
  <si>
    <t> 12.09.1974 00:17 </t>
  </si>
  <si>
    <t> 0.046 </t>
  </si>
  <si>
    <t>2442448.272 </t>
  </si>
  <si>
    <t> 04.02.1975 18:31 </t>
  </si>
  <si>
    <t> 0.021 </t>
  </si>
  <si>
    <t>2442716.467 </t>
  </si>
  <si>
    <t> 30.10.1975 23:12 </t>
  </si>
  <si>
    <t> -0.027 </t>
  </si>
  <si>
    <t>2443401.561 </t>
  </si>
  <si>
    <t> 15.09.1977 01:27 </t>
  </si>
  <si>
    <t> -0.121 </t>
  </si>
  <si>
    <t>2443436.511 </t>
  </si>
  <si>
    <t> 20.10.1977 00:15 </t>
  </si>
  <si>
    <t> -0.159 </t>
  </si>
  <si>
    <t>2444853.533 </t>
  </si>
  <si>
    <t> 06.09.1981 00:47 </t>
  </si>
  <si>
    <t> -0.164 </t>
  </si>
  <si>
    <t>2444967.371 </t>
  </si>
  <si>
    <t> 28.12.1981 20:54 </t>
  </si>
  <si>
    <t> -0.038 </t>
  </si>
  <si>
    <t>2445229.508 </t>
  </si>
  <si>
    <t> 17.09.1982 00:11 </t>
  </si>
  <si>
    <t> -0.314 </t>
  </si>
  <si>
    <t>2445238.543 </t>
  </si>
  <si>
    <t> 26.09.1982 01:01 </t>
  </si>
  <si>
    <t> -0.026 </t>
  </si>
  <si>
    <t>2445681.525 </t>
  </si>
  <si>
    <t> 13.12.1983 00:36 </t>
  </si>
  <si>
    <t> -0.229 </t>
  </si>
  <si>
    <t>V </t>
  </si>
  <si>
    <t> T.Brelstaff </t>
  </si>
  <si>
    <t> VSSC 60.22 </t>
  </si>
  <si>
    <t>2446002.440 </t>
  </si>
  <si>
    <t> 28.10.1984 22:33 </t>
  </si>
  <si>
    <t> -0.040 </t>
  </si>
  <si>
    <t>2446066.410 </t>
  </si>
  <si>
    <t> 31.12.1984 21:50 </t>
  </si>
  <si>
    <t> -0.216 </t>
  </si>
  <si>
    <t> VSSC 61.19 </t>
  </si>
  <si>
    <t>2446110.274 </t>
  </si>
  <si>
    <t> 13.02.1985 18:34 </t>
  </si>
  <si>
    <t> -0.087 </t>
  </si>
  <si>
    <t>2446136.389 </t>
  </si>
  <si>
    <t> 11.03.1985 21:20 </t>
  </si>
  <si>
    <t> -0.213 </t>
  </si>
  <si>
    <t> VSSC 68.33 </t>
  </si>
  <si>
    <t>2446713.548 </t>
  </si>
  <si>
    <t> 10.10.1986 01:09 </t>
  </si>
  <si>
    <t> -0.361 </t>
  </si>
  <si>
    <t>2446763.397 </t>
  </si>
  <si>
    <t> 28.11.1986 21:31 </t>
  </si>
  <si>
    <t> -0.079 </t>
  </si>
  <si>
    <t>2446827.256 </t>
  </si>
  <si>
    <t> 31.01.1987 18:08 </t>
  </si>
  <si>
    <t> -0.365 </t>
  </si>
  <si>
    <t>2447063.559 </t>
  </si>
  <si>
    <t> 25.09.1987 01:24 </t>
  </si>
  <si>
    <t> -0.234 </t>
  </si>
  <si>
    <t> J.Borovicka </t>
  </si>
  <si>
    <t> BRNO 30 </t>
  </si>
  <si>
    <t>2447107.296 </t>
  </si>
  <si>
    <t> 07.11.1987 19:06 </t>
  </si>
  <si>
    <t> -0.232 </t>
  </si>
  <si>
    <t> K.Locher </t>
  </si>
  <si>
    <t> BBS 86 </t>
  </si>
  <si>
    <t>2447174.34 </t>
  </si>
  <si>
    <t> 13.01.1988 20:09 </t>
  </si>
  <si>
    <t> -0.25 </t>
  </si>
  <si>
    <t>2447524.232 </t>
  </si>
  <si>
    <t> 28.12.1988 17:34 </t>
  </si>
  <si>
    <t> -0.240 </t>
  </si>
  <si>
    <t> BBS 90 </t>
  </si>
  <si>
    <t>2447827.433 </t>
  </si>
  <si>
    <t> 27.10.1989 22:23 </t>
  </si>
  <si>
    <t> -0.271 </t>
  </si>
  <si>
    <t> A.Dedoch </t>
  </si>
  <si>
    <t>2448153.988 </t>
  </si>
  <si>
    <t> 19.09.1990 11:42 </t>
  </si>
  <si>
    <t> -0.274 </t>
  </si>
  <si>
    <t> BRNO 31 </t>
  </si>
  <si>
    <t>2448273.385 </t>
  </si>
  <si>
    <t> 16.01.1991 21:14 </t>
  </si>
  <si>
    <t> -0.420 </t>
  </si>
  <si>
    <t>2448512.585 </t>
  </si>
  <si>
    <t> 13.09.1991 02:02 </t>
  </si>
  <si>
    <t> -0.307 </t>
  </si>
  <si>
    <t> J.Vandenbroere </t>
  </si>
  <si>
    <t> BBS 99 </t>
  </si>
  <si>
    <t>2449005.338 </t>
  </si>
  <si>
    <t> 17.01.1993 20:06 </t>
  </si>
  <si>
    <t> -0.306 </t>
  </si>
  <si>
    <t>E </t>
  </si>
  <si>
    <t>?</t>
  </si>
  <si>
    <t>IBVS 3877 </t>
  </si>
  <si>
    <t>2449005.344 </t>
  </si>
  <si>
    <t> 17.01.1993 20:15 </t>
  </si>
  <si>
    <t> -0.300 </t>
  </si>
  <si>
    <t> H.Peter </t>
  </si>
  <si>
    <t> BBS 103 </t>
  </si>
  <si>
    <t>2449311.463 </t>
  </si>
  <si>
    <t> 19.11.1993 23:06 </t>
  </si>
  <si>
    <t> -0.329 </t>
  </si>
  <si>
    <t> BBS 107 </t>
  </si>
  <si>
    <t>2449384.359 </t>
  </si>
  <si>
    <t> 31.01.1994 20:36 </t>
  </si>
  <si>
    <t> -0.325 </t>
  </si>
  <si>
    <t> BBS 106 </t>
  </si>
  <si>
    <t>2450422.324 </t>
  </si>
  <si>
    <t> 04.12.1996 19:46 </t>
  </si>
  <si>
    <t> -0.347 </t>
  </si>
  <si>
    <t> BBS 114 </t>
  </si>
  <si>
    <t>2450897.543 </t>
  </si>
  <si>
    <t> 25.03.1998 01:01 </t>
  </si>
  <si>
    <t> -0.386 </t>
  </si>
  <si>
    <t> P.Guilbault </t>
  </si>
  <si>
    <t> BBS 123 </t>
  </si>
  <si>
    <t>2451136.630 </t>
  </si>
  <si>
    <t> 19.11.1998 03:07 </t>
  </si>
  <si>
    <t>2451139.548 </t>
  </si>
  <si>
    <t> 22.11.1998 01:09 </t>
  </si>
  <si>
    <t> -0.383 </t>
  </si>
  <si>
    <t>2451486.539 </t>
  </si>
  <si>
    <t> 04.11.1999 00:56 </t>
  </si>
  <si>
    <t> -0.360 </t>
  </si>
  <si>
    <t>2451521.536 </t>
  </si>
  <si>
    <t> 09.12.1999 00:51 </t>
  </si>
  <si>
    <t> -0.351 </t>
  </si>
  <si>
    <t>2452323.3002 </t>
  </si>
  <si>
    <t> 17.02.2002 19:12 </t>
  </si>
  <si>
    <t> -0.4026 </t>
  </si>
  <si>
    <t> R.Diethelm </t>
  </si>
  <si>
    <t> BBS 127 </t>
  </si>
  <si>
    <t>2453335.0314 </t>
  </si>
  <si>
    <t> 25.11.2004 12:45 </t>
  </si>
  <si>
    <t> -0.4168 </t>
  </si>
  <si>
    <t> C.-H.Kim et al. </t>
  </si>
  <si>
    <t>IBVS 5694 </t>
  </si>
  <si>
    <t>2454390.4651 </t>
  </si>
  <si>
    <t> 16.10.2007 23:09 </t>
  </si>
  <si>
    <t> -0.4640 </t>
  </si>
  <si>
    <t>C </t>
  </si>
  <si>
    <t>-I</t>
  </si>
  <si>
    <t> F.Agerer </t>
  </si>
  <si>
    <t>BAVM 193 </t>
  </si>
  <si>
    <t>2454833.6262 </t>
  </si>
  <si>
    <t> 02.01.2009 03:01 </t>
  </si>
  <si>
    <t>5295</t>
  </si>
  <si>
    <t> -0.4882 </t>
  </si>
  <si>
    <t>IBVS 5894 </t>
  </si>
  <si>
    <t>2455480.8696 </t>
  </si>
  <si>
    <t> 11.10.2010 08:52 </t>
  </si>
  <si>
    <t>5517</t>
  </si>
  <si>
    <t> -0.5287 </t>
  </si>
  <si>
    <t>IBVS 5960 </t>
  </si>
  <si>
    <t>2456588.7932 </t>
  </si>
  <si>
    <t> 23.10.2013 07:02 </t>
  </si>
  <si>
    <t>5897</t>
  </si>
  <si>
    <t> -0.5684 </t>
  </si>
  <si>
    <t>IBVS 6093 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</si>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</sst>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7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3" xfId="0" applyFont="1" applyFill="1" applyBorder="1" applyAlignment="1"/>
    <xf numFmtId="0" fontId="0" fillId="2" borderId="3" xfId="0" applyFill="1" applyBorder="1" applyAlignment="1"/>
    <xf numFmtId="0" fontId="5" fillId="0" borderId="3" xfId="0" applyFont="1" applyBorder="1" applyAlignment="1">
      <alignment horizontal="left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>
      <alignment horizontal="center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8" fillId="0" borderId="0" xfId="0" applyFont="1" applyAlignment="1">
      <alignment horizontal="right"/>
    </xf>
    <xf numFmtId="0" fontId="0" fillId="2" borderId="3" xfId="0" applyFill="1" applyBorder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3" borderId="18" xfId="0" applyFont="1" applyFill="1" applyBorder="1" applyAlignment="1">
      <alignment horizontal="left" vertical="top" wrapText="1" indent="1"/>
    </xf>
    <xf numFmtId="0" fontId="5" fillId="3" borderId="18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right" vertical="top" wrapText="1"/>
    </xf>
    <xf numFmtId="0" fontId="17" fillId="3" borderId="18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2" borderId="0" xfId="0" applyFill="1" applyAlignment="1"/>
    <xf numFmtId="0" fontId="18" fillId="0" borderId="3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3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2" borderId="0" xfId="0" applyFont="1" applyFill="1" applyAlignment="1"/>
    <xf numFmtId="0" fontId="19" fillId="2" borderId="0" xfId="0" applyFont="1" applyFill="1" applyAlignment="1">
      <alignment horizontal="left"/>
    </xf>
    <xf numFmtId="0" fontId="19" fillId="0" borderId="0" xfId="0" applyFont="1" applyAlignment="1"/>
    <xf numFmtId="14" fontId="19" fillId="0" borderId="0" xfId="0" applyNumberFormat="1" applyFont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165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Per - O-C Diagr.</a:t>
            </a:r>
          </a:p>
        </c:rich>
      </c:tx>
      <c:layout>
        <c:manualLayout>
          <c:xMode val="edge"/>
          <c:yMode val="edge"/>
          <c:x val="0.3812604361449972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723926380368099"/>
          <c:w val="0.8206791611021755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-2385</c:v>
                </c:pt>
                <c:pt idx="1">
                  <c:v>-2384</c:v>
                </c:pt>
                <c:pt idx="2">
                  <c:v>-984</c:v>
                </c:pt>
                <c:pt idx="3">
                  <c:v>-330</c:v>
                </c:pt>
                <c:pt idx="4">
                  <c:v>-249</c:v>
                </c:pt>
                <c:pt idx="5">
                  <c:v>-225</c:v>
                </c:pt>
                <c:pt idx="6">
                  <c:v>0</c:v>
                </c:pt>
                <c:pt idx="7">
                  <c:v>0</c:v>
                </c:pt>
                <c:pt idx="8">
                  <c:v>380</c:v>
                </c:pt>
                <c:pt idx="9">
                  <c:v>381</c:v>
                </c:pt>
                <c:pt idx="10">
                  <c:v>522</c:v>
                </c:pt>
                <c:pt idx="11">
                  <c:v>666</c:v>
                </c:pt>
                <c:pt idx="12">
                  <c:v>747</c:v>
                </c:pt>
                <c:pt idx="13">
                  <c:v>890</c:v>
                </c:pt>
                <c:pt idx="14">
                  <c:v>926</c:v>
                </c:pt>
                <c:pt idx="15">
                  <c:v>997</c:v>
                </c:pt>
                <c:pt idx="16">
                  <c:v>1047</c:v>
                </c:pt>
                <c:pt idx="17">
                  <c:v>1139</c:v>
                </c:pt>
                <c:pt idx="18">
                  <c:v>1374</c:v>
                </c:pt>
                <c:pt idx="19">
                  <c:v>1386</c:v>
                </c:pt>
                <c:pt idx="20">
                  <c:v>1872</c:v>
                </c:pt>
                <c:pt idx="21">
                  <c:v>1911</c:v>
                </c:pt>
                <c:pt idx="22">
                  <c:v>2001</c:v>
                </c:pt>
                <c:pt idx="23">
                  <c:v>2004</c:v>
                </c:pt>
                <c:pt idx="24">
                  <c:v>2156</c:v>
                </c:pt>
                <c:pt idx="25">
                  <c:v>2266</c:v>
                </c:pt>
                <c:pt idx="26">
                  <c:v>2288</c:v>
                </c:pt>
                <c:pt idx="27">
                  <c:v>2303</c:v>
                </c:pt>
                <c:pt idx="28">
                  <c:v>2312</c:v>
                </c:pt>
                <c:pt idx="29">
                  <c:v>2510</c:v>
                </c:pt>
                <c:pt idx="30">
                  <c:v>2527</c:v>
                </c:pt>
                <c:pt idx="31">
                  <c:v>2549</c:v>
                </c:pt>
                <c:pt idx="32">
                  <c:v>2630</c:v>
                </c:pt>
                <c:pt idx="33">
                  <c:v>2645</c:v>
                </c:pt>
                <c:pt idx="34">
                  <c:v>2668</c:v>
                </c:pt>
                <c:pt idx="35">
                  <c:v>2788</c:v>
                </c:pt>
                <c:pt idx="36">
                  <c:v>2892</c:v>
                </c:pt>
                <c:pt idx="37">
                  <c:v>3004</c:v>
                </c:pt>
                <c:pt idx="38">
                  <c:v>3045</c:v>
                </c:pt>
                <c:pt idx="39">
                  <c:v>3127</c:v>
                </c:pt>
                <c:pt idx="40">
                  <c:v>3296</c:v>
                </c:pt>
                <c:pt idx="41">
                  <c:v>3296</c:v>
                </c:pt>
                <c:pt idx="42">
                  <c:v>3401</c:v>
                </c:pt>
                <c:pt idx="43">
                  <c:v>3426</c:v>
                </c:pt>
                <c:pt idx="44">
                  <c:v>3782</c:v>
                </c:pt>
                <c:pt idx="45">
                  <c:v>3945</c:v>
                </c:pt>
                <c:pt idx="46">
                  <c:v>3945</c:v>
                </c:pt>
                <c:pt idx="47">
                  <c:v>3945</c:v>
                </c:pt>
                <c:pt idx="48">
                  <c:v>3945</c:v>
                </c:pt>
                <c:pt idx="49">
                  <c:v>3945</c:v>
                </c:pt>
                <c:pt idx="50">
                  <c:v>4027</c:v>
                </c:pt>
                <c:pt idx="51">
                  <c:v>4028</c:v>
                </c:pt>
                <c:pt idx="52">
                  <c:v>4147</c:v>
                </c:pt>
                <c:pt idx="53">
                  <c:v>4159</c:v>
                </c:pt>
                <c:pt idx="54">
                  <c:v>4159</c:v>
                </c:pt>
                <c:pt idx="55">
                  <c:v>4434</c:v>
                </c:pt>
                <c:pt idx="56">
                  <c:v>4781</c:v>
                </c:pt>
                <c:pt idx="57">
                  <c:v>5143</c:v>
                </c:pt>
                <c:pt idx="58">
                  <c:v>5295</c:v>
                </c:pt>
                <c:pt idx="59">
                  <c:v>5517</c:v>
                </c:pt>
                <c:pt idx="60">
                  <c:v>5897</c:v>
                </c:pt>
                <c:pt idx="61">
                  <c:v>7024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23-4A56-9662-8C14A0C9E2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-2385</c:v>
                </c:pt>
                <c:pt idx="1">
                  <c:v>-2384</c:v>
                </c:pt>
                <c:pt idx="2">
                  <c:v>-984</c:v>
                </c:pt>
                <c:pt idx="3">
                  <c:v>-330</c:v>
                </c:pt>
                <c:pt idx="4">
                  <c:v>-249</c:v>
                </c:pt>
                <c:pt idx="5">
                  <c:v>-225</c:v>
                </c:pt>
                <c:pt idx="6">
                  <c:v>0</c:v>
                </c:pt>
                <c:pt idx="7">
                  <c:v>0</c:v>
                </c:pt>
                <c:pt idx="8">
                  <c:v>380</c:v>
                </c:pt>
                <c:pt idx="9">
                  <c:v>381</c:v>
                </c:pt>
                <c:pt idx="10">
                  <c:v>522</c:v>
                </c:pt>
                <c:pt idx="11">
                  <c:v>666</c:v>
                </c:pt>
                <c:pt idx="12">
                  <c:v>747</c:v>
                </c:pt>
                <c:pt idx="13">
                  <c:v>890</c:v>
                </c:pt>
                <c:pt idx="14">
                  <c:v>926</c:v>
                </c:pt>
                <c:pt idx="15">
                  <c:v>997</c:v>
                </c:pt>
                <c:pt idx="16">
                  <c:v>1047</c:v>
                </c:pt>
                <c:pt idx="17">
                  <c:v>1139</c:v>
                </c:pt>
                <c:pt idx="18">
                  <c:v>1374</c:v>
                </c:pt>
                <c:pt idx="19">
                  <c:v>1386</c:v>
                </c:pt>
                <c:pt idx="20">
                  <c:v>1872</c:v>
                </c:pt>
                <c:pt idx="21">
                  <c:v>1911</c:v>
                </c:pt>
                <c:pt idx="22">
                  <c:v>2001</c:v>
                </c:pt>
                <c:pt idx="23">
                  <c:v>2004</c:v>
                </c:pt>
                <c:pt idx="24">
                  <c:v>2156</c:v>
                </c:pt>
                <c:pt idx="25">
                  <c:v>2266</c:v>
                </c:pt>
                <c:pt idx="26">
                  <c:v>2288</c:v>
                </c:pt>
                <c:pt idx="27">
                  <c:v>2303</c:v>
                </c:pt>
                <c:pt idx="28">
                  <c:v>2312</c:v>
                </c:pt>
                <c:pt idx="29">
                  <c:v>2510</c:v>
                </c:pt>
                <c:pt idx="30">
                  <c:v>2527</c:v>
                </c:pt>
                <c:pt idx="31">
                  <c:v>2549</c:v>
                </c:pt>
                <c:pt idx="32">
                  <c:v>2630</c:v>
                </c:pt>
                <c:pt idx="33">
                  <c:v>2645</c:v>
                </c:pt>
                <c:pt idx="34">
                  <c:v>2668</c:v>
                </c:pt>
                <c:pt idx="35">
                  <c:v>2788</c:v>
                </c:pt>
                <c:pt idx="36">
                  <c:v>2892</c:v>
                </c:pt>
                <c:pt idx="37">
                  <c:v>3004</c:v>
                </c:pt>
                <c:pt idx="38">
                  <c:v>3045</c:v>
                </c:pt>
                <c:pt idx="39">
                  <c:v>3127</c:v>
                </c:pt>
                <c:pt idx="40">
                  <c:v>3296</c:v>
                </c:pt>
                <c:pt idx="41">
                  <c:v>3296</c:v>
                </c:pt>
                <c:pt idx="42">
                  <c:v>3401</c:v>
                </c:pt>
                <c:pt idx="43">
                  <c:v>3426</c:v>
                </c:pt>
                <c:pt idx="44">
                  <c:v>3782</c:v>
                </c:pt>
                <c:pt idx="45">
                  <c:v>3945</c:v>
                </c:pt>
                <c:pt idx="46">
                  <c:v>3945</c:v>
                </c:pt>
                <c:pt idx="47">
                  <c:v>3945</c:v>
                </c:pt>
                <c:pt idx="48">
                  <c:v>3945</c:v>
                </c:pt>
                <c:pt idx="49">
                  <c:v>3945</c:v>
                </c:pt>
                <c:pt idx="50">
                  <c:v>4027</c:v>
                </c:pt>
                <c:pt idx="51">
                  <c:v>4028</c:v>
                </c:pt>
                <c:pt idx="52">
                  <c:v>4147</c:v>
                </c:pt>
                <c:pt idx="53">
                  <c:v>4159</c:v>
                </c:pt>
                <c:pt idx="54">
                  <c:v>4159</c:v>
                </c:pt>
                <c:pt idx="55">
                  <c:v>4434</c:v>
                </c:pt>
                <c:pt idx="56">
                  <c:v>4781</c:v>
                </c:pt>
                <c:pt idx="57">
                  <c:v>5143</c:v>
                </c:pt>
                <c:pt idx="58">
                  <c:v>5295</c:v>
                </c:pt>
                <c:pt idx="59">
                  <c:v>5517</c:v>
                </c:pt>
                <c:pt idx="60">
                  <c:v>5897</c:v>
                </c:pt>
                <c:pt idx="61">
                  <c:v>7024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0">
                  <c:v>-0.30612799999653362</c:v>
                </c:pt>
                <c:pt idx="56">
                  <c:v>-0.4168329999956768</c:v>
                </c:pt>
                <c:pt idx="58">
                  <c:v>-0.48823499999707565</c:v>
                </c:pt>
                <c:pt idx="59">
                  <c:v>-0.52868100000341656</c:v>
                </c:pt>
                <c:pt idx="60">
                  <c:v>-0.56842099999630591</c:v>
                </c:pt>
                <c:pt idx="61">
                  <c:v>-0.70843199999944773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23-4A56-9662-8C14A0C9E2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Guilbault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-2385</c:v>
                </c:pt>
                <c:pt idx="1">
                  <c:v>-2384</c:v>
                </c:pt>
                <c:pt idx="2">
                  <c:v>-984</c:v>
                </c:pt>
                <c:pt idx="3">
                  <c:v>-330</c:v>
                </c:pt>
                <c:pt idx="4">
                  <c:v>-249</c:v>
                </c:pt>
                <c:pt idx="5">
                  <c:v>-225</c:v>
                </c:pt>
                <c:pt idx="6">
                  <c:v>0</c:v>
                </c:pt>
                <c:pt idx="7">
                  <c:v>0</c:v>
                </c:pt>
                <c:pt idx="8">
                  <c:v>380</c:v>
                </c:pt>
                <c:pt idx="9">
                  <c:v>381</c:v>
                </c:pt>
                <c:pt idx="10">
                  <c:v>522</c:v>
                </c:pt>
                <c:pt idx="11">
                  <c:v>666</c:v>
                </c:pt>
                <c:pt idx="12">
                  <c:v>747</c:v>
                </c:pt>
                <c:pt idx="13">
                  <c:v>890</c:v>
                </c:pt>
                <c:pt idx="14">
                  <c:v>926</c:v>
                </c:pt>
                <c:pt idx="15">
                  <c:v>997</c:v>
                </c:pt>
                <c:pt idx="16">
                  <c:v>1047</c:v>
                </c:pt>
                <c:pt idx="17">
                  <c:v>1139</c:v>
                </c:pt>
                <c:pt idx="18">
                  <c:v>1374</c:v>
                </c:pt>
                <c:pt idx="19">
                  <c:v>1386</c:v>
                </c:pt>
                <c:pt idx="20">
                  <c:v>1872</c:v>
                </c:pt>
                <c:pt idx="21">
                  <c:v>1911</c:v>
                </c:pt>
                <c:pt idx="22">
                  <c:v>2001</c:v>
                </c:pt>
                <c:pt idx="23">
                  <c:v>2004</c:v>
                </c:pt>
                <c:pt idx="24">
                  <c:v>2156</c:v>
                </c:pt>
                <c:pt idx="25">
                  <c:v>2266</c:v>
                </c:pt>
                <c:pt idx="26">
                  <c:v>2288</c:v>
                </c:pt>
                <c:pt idx="27">
                  <c:v>2303</c:v>
                </c:pt>
                <c:pt idx="28">
                  <c:v>2312</c:v>
                </c:pt>
                <c:pt idx="29">
                  <c:v>2510</c:v>
                </c:pt>
                <c:pt idx="30">
                  <c:v>2527</c:v>
                </c:pt>
                <c:pt idx="31">
                  <c:v>2549</c:v>
                </c:pt>
                <c:pt idx="32">
                  <c:v>2630</c:v>
                </c:pt>
                <c:pt idx="33">
                  <c:v>2645</c:v>
                </c:pt>
                <c:pt idx="34">
                  <c:v>2668</c:v>
                </c:pt>
                <c:pt idx="35">
                  <c:v>2788</c:v>
                </c:pt>
                <c:pt idx="36">
                  <c:v>2892</c:v>
                </c:pt>
                <c:pt idx="37">
                  <c:v>3004</c:v>
                </c:pt>
                <c:pt idx="38">
                  <c:v>3045</c:v>
                </c:pt>
                <c:pt idx="39">
                  <c:v>3127</c:v>
                </c:pt>
                <c:pt idx="40">
                  <c:v>3296</c:v>
                </c:pt>
                <c:pt idx="41">
                  <c:v>3296</c:v>
                </c:pt>
                <c:pt idx="42">
                  <c:v>3401</c:v>
                </c:pt>
                <c:pt idx="43">
                  <c:v>3426</c:v>
                </c:pt>
                <c:pt idx="44">
                  <c:v>3782</c:v>
                </c:pt>
                <c:pt idx="45">
                  <c:v>3945</c:v>
                </c:pt>
                <c:pt idx="46">
                  <c:v>3945</c:v>
                </c:pt>
                <c:pt idx="47">
                  <c:v>3945</c:v>
                </c:pt>
                <c:pt idx="48">
                  <c:v>3945</c:v>
                </c:pt>
                <c:pt idx="49">
                  <c:v>3945</c:v>
                </c:pt>
                <c:pt idx="50">
                  <c:v>4027</c:v>
                </c:pt>
                <c:pt idx="51">
                  <c:v>4028</c:v>
                </c:pt>
                <c:pt idx="52">
                  <c:v>4147</c:v>
                </c:pt>
                <c:pt idx="53">
                  <c:v>4159</c:v>
                </c:pt>
                <c:pt idx="54">
                  <c:v>4159</c:v>
                </c:pt>
                <c:pt idx="55">
                  <c:v>4434</c:v>
                </c:pt>
                <c:pt idx="56">
                  <c:v>4781</c:v>
                </c:pt>
                <c:pt idx="57">
                  <c:v>5143</c:v>
                </c:pt>
                <c:pt idx="58">
                  <c:v>5295</c:v>
                </c:pt>
                <c:pt idx="59">
                  <c:v>5517</c:v>
                </c:pt>
                <c:pt idx="60">
                  <c:v>5897</c:v>
                </c:pt>
                <c:pt idx="61">
                  <c:v>7024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5">
                  <c:v>-0.38608499999827472</c:v>
                </c:pt>
                <c:pt idx="46">
                  <c:v>-0.38608499999827472</c:v>
                </c:pt>
                <c:pt idx="47">
                  <c:v>-0.38608499999827472</c:v>
                </c:pt>
                <c:pt idx="48">
                  <c:v>-0.38608499999827472</c:v>
                </c:pt>
                <c:pt idx="54">
                  <c:v>-0.35078700000303797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23-4A56-9662-8C14A0C9E2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-2385</c:v>
                </c:pt>
                <c:pt idx="1">
                  <c:v>-2384</c:v>
                </c:pt>
                <c:pt idx="2">
                  <c:v>-984</c:v>
                </c:pt>
                <c:pt idx="3">
                  <c:v>-330</c:v>
                </c:pt>
                <c:pt idx="4">
                  <c:v>-249</c:v>
                </c:pt>
                <c:pt idx="5">
                  <c:v>-225</c:v>
                </c:pt>
                <c:pt idx="6">
                  <c:v>0</c:v>
                </c:pt>
                <c:pt idx="7">
                  <c:v>0</c:v>
                </c:pt>
                <c:pt idx="8">
                  <c:v>380</c:v>
                </c:pt>
                <c:pt idx="9">
                  <c:v>381</c:v>
                </c:pt>
                <c:pt idx="10">
                  <c:v>522</c:v>
                </c:pt>
                <c:pt idx="11">
                  <c:v>666</c:v>
                </c:pt>
                <c:pt idx="12">
                  <c:v>747</c:v>
                </c:pt>
                <c:pt idx="13">
                  <c:v>890</c:v>
                </c:pt>
                <c:pt idx="14">
                  <c:v>926</c:v>
                </c:pt>
                <c:pt idx="15">
                  <c:v>997</c:v>
                </c:pt>
                <c:pt idx="16">
                  <c:v>1047</c:v>
                </c:pt>
                <c:pt idx="17">
                  <c:v>1139</c:v>
                </c:pt>
                <c:pt idx="18">
                  <c:v>1374</c:v>
                </c:pt>
                <c:pt idx="19">
                  <c:v>1386</c:v>
                </c:pt>
                <c:pt idx="20">
                  <c:v>1872</c:v>
                </c:pt>
                <c:pt idx="21">
                  <c:v>1911</c:v>
                </c:pt>
                <c:pt idx="22">
                  <c:v>2001</c:v>
                </c:pt>
                <c:pt idx="23">
                  <c:v>2004</c:v>
                </c:pt>
                <c:pt idx="24">
                  <c:v>2156</c:v>
                </c:pt>
                <c:pt idx="25">
                  <c:v>2266</c:v>
                </c:pt>
                <c:pt idx="26">
                  <c:v>2288</c:v>
                </c:pt>
                <c:pt idx="27">
                  <c:v>2303</c:v>
                </c:pt>
                <c:pt idx="28">
                  <c:v>2312</c:v>
                </c:pt>
                <c:pt idx="29">
                  <c:v>2510</c:v>
                </c:pt>
                <c:pt idx="30">
                  <c:v>2527</c:v>
                </c:pt>
                <c:pt idx="31">
                  <c:v>2549</c:v>
                </c:pt>
                <c:pt idx="32">
                  <c:v>2630</c:v>
                </c:pt>
                <c:pt idx="33">
                  <c:v>2645</c:v>
                </c:pt>
                <c:pt idx="34">
                  <c:v>2668</c:v>
                </c:pt>
                <c:pt idx="35">
                  <c:v>2788</c:v>
                </c:pt>
                <c:pt idx="36">
                  <c:v>2892</c:v>
                </c:pt>
                <c:pt idx="37">
                  <c:v>3004</c:v>
                </c:pt>
                <c:pt idx="38">
                  <c:v>3045</c:v>
                </c:pt>
                <c:pt idx="39">
                  <c:v>3127</c:v>
                </c:pt>
                <c:pt idx="40">
                  <c:v>3296</c:v>
                </c:pt>
                <c:pt idx="41">
                  <c:v>3296</c:v>
                </c:pt>
                <c:pt idx="42">
                  <c:v>3401</c:v>
                </c:pt>
                <c:pt idx="43">
                  <c:v>3426</c:v>
                </c:pt>
                <c:pt idx="44">
                  <c:v>3782</c:v>
                </c:pt>
                <c:pt idx="45">
                  <c:v>3945</c:v>
                </c:pt>
                <c:pt idx="46">
                  <c:v>3945</c:v>
                </c:pt>
                <c:pt idx="47">
                  <c:v>3945</c:v>
                </c:pt>
                <c:pt idx="48">
                  <c:v>3945</c:v>
                </c:pt>
                <c:pt idx="49">
                  <c:v>3945</c:v>
                </c:pt>
                <c:pt idx="50">
                  <c:v>4027</c:v>
                </c:pt>
                <c:pt idx="51">
                  <c:v>4028</c:v>
                </c:pt>
                <c:pt idx="52">
                  <c:v>4147</c:v>
                </c:pt>
                <c:pt idx="53">
                  <c:v>4159</c:v>
                </c:pt>
                <c:pt idx="54">
                  <c:v>4159</c:v>
                </c:pt>
                <c:pt idx="55">
                  <c:v>4434</c:v>
                </c:pt>
                <c:pt idx="56">
                  <c:v>4781</c:v>
                </c:pt>
                <c:pt idx="57">
                  <c:v>5143</c:v>
                </c:pt>
                <c:pt idx="58">
                  <c:v>5295</c:v>
                </c:pt>
                <c:pt idx="59">
                  <c:v>5517</c:v>
                </c:pt>
                <c:pt idx="60">
                  <c:v>5897</c:v>
                </c:pt>
                <c:pt idx="61">
                  <c:v>7024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3">
                  <c:v>-0.23198499999125488</c:v>
                </c:pt>
                <c:pt idx="35">
                  <c:v>-0.24008399999001995</c:v>
                </c:pt>
                <c:pt idx="39">
                  <c:v>-0.30701099999714643</c:v>
                </c:pt>
                <c:pt idx="41">
                  <c:v>-0.30012800000258721</c:v>
                </c:pt>
                <c:pt idx="42">
                  <c:v>-0.32889299999806099</c:v>
                </c:pt>
                <c:pt idx="43">
                  <c:v>-0.32521799999813084</c:v>
                </c:pt>
                <c:pt idx="44">
                  <c:v>-0.34692599999834783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23-4A56-9662-8C14A0C9E2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-2385</c:v>
                </c:pt>
                <c:pt idx="1">
                  <c:v>-2384</c:v>
                </c:pt>
                <c:pt idx="2">
                  <c:v>-984</c:v>
                </c:pt>
                <c:pt idx="3">
                  <c:v>-330</c:v>
                </c:pt>
                <c:pt idx="4">
                  <c:v>-249</c:v>
                </c:pt>
                <c:pt idx="5">
                  <c:v>-225</c:v>
                </c:pt>
                <c:pt idx="6">
                  <c:v>0</c:v>
                </c:pt>
                <c:pt idx="7">
                  <c:v>0</c:v>
                </c:pt>
                <c:pt idx="8">
                  <c:v>380</c:v>
                </c:pt>
                <c:pt idx="9">
                  <c:v>381</c:v>
                </c:pt>
                <c:pt idx="10">
                  <c:v>522</c:v>
                </c:pt>
                <c:pt idx="11">
                  <c:v>666</c:v>
                </c:pt>
                <c:pt idx="12">
                  <c:v>747</c:v>
                </c:pt>
                <c:pt idx="13">
                  <c:v>890</c:v>
                </c:pt>
                <c:pt idx="14">
                  <c:v>926</c:v>
                </c:pt>
                <c:pt idx="15">
                  <c:v>997</c:v>
                </c:pt>
                <c:pt idx="16">
                  <c:v>1047</c:v>
                </c:pt>
                <c:pt idx="17">
                  <c:v>1139</c:v>
                </c:pt>
                <c:pt idx="18">
                  <c:v>1374</c:v>
                </c:pt>
                <c:pt idx="19">
                  <c:v>1386</c:v>
                </c:pt>
                <c:pt idx="20">
                  <c:v>1872</c:v>
                </c:pt>
                <c:pt idx="21">
                  <c:v>1911</c:v>
                </c:pt>
                <c:pt idx="22">
                  <c:v>2001</c:v>
                </c:pt>
                <c:pt idx="23">
                  <c:v>2004</c:v>
                </c:pt>
                <c:pt idx="24">
                  <c:v>2156</c:v>
                </c:pt>
                <c:pt idx="25">
                  <c:v>2266</c:v>
                </c:pt>
                <c:pt idx="26">
                  <c:v>2288</c:v>
                </c:pt>
                <c:pt idx="27">
                  <c:v>2303</c:v>
                </c:pt>
                <c:pt idx="28">
                  <c:v>2312</c:v>
                </c:pt>
                <c:pt idx="29">
                  <c:v>2510</c:v>
                </c:pt>
                <c:pt idx="30">
                  <c:v>2527</c:v>
                </c:pt>
                <c:pt idx="31">
                  <c:v>2549</c:v>
                </c:pt>
                <c:pt idx="32">
                  <c:v>2630</c:v>
                </c:pt>
                <c:pt idx="33">
                  <c:v>2645</c:v>
                </c:pt>
                <c:pt idx="34">
                  <c:v>2668</c:v>
                </c:pt>
                <c:pt idx="35">
                  <c:v>2788</c:v>
                </c:pt>
                <c:pt idx="36">
                  <c:v>2892</c:v>
                </c:pt>
                <c:pt idx="37">
                  <c:v>3004</c:v>
                </c:pt>
                <c:pt idx="38">
                  <c:v>3045</c:v>
                </c:pt>
                <c:pt idx="39">
                  <c:v>3127</c:v>
                </c:pt>
                <c:pt idx="40">
                  <c:v>3296</c:v>
                </c:pt>
                <c:pt idx="41">
                  <c:v>3296</c:v>
                </c:pt>
                <c:pt idx="42">
                  <c:v>3401</c:v>
                </c:pt>
                <c:pt idx="43">
                  <c:v>3426</c:v>
                </c:pt>
                <c:pt idx="44">
                  <c:v>3782</c:v>
                </c:pt>
                <c:pt idx="45">
                  <c:v>3945</c:v>
                </c:pt>
                <c:pt idx="46">
                  <c:v>3945</c:v>
                </c:pt>
                <c:pt idx="47">
                  <c:v>3945</c:v>
                </c:pt>
                <c:pt idx="48">
                  <c:v>3945</c:v>
                </c:pt>
                <c:pt idx="49">
                  <c:v>3945</c:v>
                </c:pt>
                <c:pt idx="50">
                  <c:v>4027</c:v>
                </c:pt>
                <c:pt idx="51">
                  <c:v>4028</c:v>
                </c:pt>
                <c:pt idx="52">
                  <c:v>4147</c:v>
                </c:pt>
                <c:pt idx="53">
                  <c:v>4159</c:v>
                </c:pt>
                <c:pt idx="54">
                  <c:v>4159</c:v>
                </c:pt>
                <c:pt idx="55">
                  <c:v>4434</c:v>
                </c:pt>
                <c:pt idx="56">
                  <c:v>4781</c:v>
                </c:pt>
                <c:pt idx="57">
                  <c:v>5143</c:v>
                </c:pt>
                <c:pt idx="58">
                  <c:v>5295</c:v>
                </c:pt>
                <c:pt idx="59">
                  <c:v>5517</c:v>
                </c:pt>
                <c:pt idx="60">
                  <c:v>5897</c:v>
                </c:pt>
                <c:pt idx="61">
                  <c:v>7024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0">
                  <c:v>-6.7194999995990656E-2</c:v>
                </c:pt>
                <c:pt idx="1">
                  <c:v>-3.3887999998114537E-2</c:v>
                </c:pt>
                <c:pt idx="2">
                  <c:v>6.491200000164099E-2</c:v>
                </c:pt>
                <c:pt idx="3">
                  <c:v>-1.3099999996484257E-3</c:v>
                </c:pt>
                <c:pt idx="4">
                  <c:v>-4.3443000002298504E-2</c:v>
                </c:pt>
                <c:pt idx="5">
                  <c:v>3.1925000002956949E-2</c:v>
                </c:pt>
                <c:pt idx="6">
                  <c:v>-9.9999999656574801E-4</c:v>
                </c:pt>
                <c:pt idx="8">
                  <c:v>6.6599999991012737E-3</c:v>
                </c:pt>
                <c:pt idx="9">
                  <c:v>-1.1032999995222781E-2</c:v>
                </c:pt>
                <c:pt idx="10">
                  <c:v>-5.8745999995153397E-2</c:v>
                </c:pt>
                <c:pt idx="11">
                  <c:v>-1.6537999996216968E-2</c:v>
                </c:pt>
                <c:pt idx="12">
                  <c:v>-3.0670999993162695E-2</c:v>
                </c:pt>
                <c:pt idx="13">
                  <c:v>-1.3769999997748528E-2</c:v>
                </c:pt>
                <c:pt idx="14">
                  <c:v>-0.16571799999655923</c:v>
                </c:pt>
                <c:pt idx="15">
                  <c:v>4.6079000007011928E-2</c:v>
                </c:pt>
                <c:pt idx="16">
                  <c:v>2.1429000000352971E-2</c:v>
                </c:pt>
                <c:pt idx="17">
                  <c:v>-2.7326999996148515E-2</c:v>
                </c:pt>
                <c:pt idx="18">
                  <c:v>-0.12118199999531498</c:v>
                </c:pt>
                <c:pt idx="19">
                  <c:v>-0.15949800000089454</c:v>
                </c:pt>
                <c:pt idx="20">
                  <c:v>-0.16429599999537459</c:v>
                </c:pt>
                <c:pt idx="21">
                  <c:v>-3.8323000000673346E-2</c:v>
                </c:pt>
                <c:pt idx="22">
                  <c:v>-0.31369299999641953</c:v>
                </c:pt>
                <c:pt idx="23">
                  <c:v>-2.5772000000870321E-2</c:v>
                </c:pt>
                <c:pt idx="24">
                  <c:v>-0.22910799999226583</c:v>
                </c:pt>
                <c:pt idx="25">
                  <c:v>-4.0337999991606921E-2</c:v>
                </c:pt>
                <c:pt idx="26">
                  <c:v>-0.21558399999048561</c:v>
                </c:pt>
                <c:pt idx="27">
                  <c:v>-8.6978999999701045E-2</c:v>
                </c:pt>
                <c:pt idx="28">
                  <c:v>-0.21321599999646423</c:v>
                </c:pt>
                <c:pt idx="29">
                  <c:v>-0.36142999999719905</c:v>
                </c:pt>
                <c:pt idx="30">
                  <c:v>-7.921100000385195E-2</c:v>
                </c:pt>
                <c:pt idx="31">
                  <c:v>-0.36545699999987846</c:v>
                </c:pt>
                <c:pt idx="32">
                  <c:v>-0.23358999999618391</c:v>
                </c:pt>
                <c:pt idx="34">
                  <c:v>-0.24892399999953341</c:v>
                </c:pt>
                <c:pt idx="36">
                  <c:v>-0.27115600000252016</c:v>
                </c:pt>
                <c:pt idx="37">
                  <c:v>-0.27377200000046287</c:v>
                </c:pt>
                <c:pt idx="38">
                  <c:v>-0.42018499999539927</c:v>
                </c:pt>
                <c:pt idx="49">
                  <c:v>-0.38588500000332715</c:v>
                </c:pt>
                <c:pt idx="50">
                  <c:v>-0.38571100000262959</c:v>
                </c:pt>
                <c:pt idx="51">
                  <c:v>-0.38340399999287911</c:v>
                </c:pt>
                <c:pt idx="52">
                  <c:v>-0.35987100000056671</c:v>
                </c:pt>
                <c:pt idx="53">
                  <c:v>-0.35118700000020908</c:v>
                </c:pt>
                <c:pt idx="55">
                  <c:v>-0.40256200000294484</c:v>
                </c:pt>
                <c:pt idx="57">
                  <c:v>-0.46399899999960326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23-4A56-9662-8C14A0C9E2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-2385</c:v>
                </c:pt>
                <c:pt idx="1">
                  <c:v>-2384</c:v>
                </c:pt>
                <c:pt idx="2">
                  <c:v>-984</c:v>
                </c:pt>
                <c:pt idx="3">
                  <c:v>-330</c:v>
                </c:pt>
                <c:pt idx="4">
                  <c:v>-249</c:v>
                </c:pt>
                <c:pt idx="5">
                  <c:v>-225</c:v>
                </c:pt>
                <c:pt idx="6">
                  <c:v>0</c:v>
                </c:pt>
                <c:pt idx="7">
                  <c:v>0</c:v>
                </c:pt>
                <c:pt idx="8">
                  <c:v>380</c:v>
                </c:pt>
                <c:pt idx="9">
                  <c:v>381</c:v>
                </c:pt>
                <c:pt idx="10">
                  <c:v>522</c:v>
                </c:pt>
                <c:pt idx="11">
                  <c:v>666</c:v>
                </c:pt>
                <c:pt idx="12">
                  <c:v>747</c:v>
                </c:pt>
                <c:pt idx="13">
                  <c:v>890</c:v>
                </c:pt>
                <c:pt idx="14">
                  <c:v>926</c:v>
                </c:pt>
                <c:pt idx="15">
                  <c:v>997</c:v>
                </c:pt>
                <c:pt idx="16">
                  <c:v>1047</c:v>
                </c:pt>
                <c:pt idx="17">
                  <c:v>1139</c:v>
                </c:pt>
                <c:pt idx="18">
                  <c:v>1374</c:v>
                </c:pt>
                <c:pt idx="19">
                  <c:v>1386</c:v>
                </c:pt>
                <c:pt idx="20">
                  <c:v>1872</c:v>
                </c:pt>
                <c:pt idx="21">
                  <c:v>1911</c:v>
                </c:pt>
                <c:pt idx="22">
                  <c:v>2001</c:v>
                </c:pt>
                <c:pt idx="23">
                  <c:v>2004</c:v>
                </c:pt>
                <c:pt idx="24">
                  <c:v>2156</c:v>
                </c:pt>
                <c:pt idx="25">
                  <c:v>2266</c:v>
                </c:pt>
                <c:pt idx="26">
                  <c:v>2288</c:v>
                </c:pt>
                <c:pt idx="27">
                  <c:v>2303</c:v>
                </c:pt>
                <c:pt idx="28">
                  <c:v>2312</c:v>
                </c:pt>
                <c:pt idx="29">
                  <c:v>2510</c:v>
                </c:pt>
                <c:pt idx="30">
                  <c:v>2527</c:v>
                </c:pt>
                <c:pt idx="31">
                  <c:v>2549</c:v>
                </c:pt>
                <c:pt idx="32">
                  <c:v>2630</c:v>
                </c:pt>
                <c:pt idx="33">
                  <c:v>2645</c:v>
                </c:pt>
                <c:pt idx="34">
                  <c:v>2668</c:v>
                </c:pt>
                <c:pt idx="35">
                  <c:v>2788</c:v>
                </c:pt>
                <c:pt idx="36">
                  <c:v>2892</c:v>
                </c:pt>
                <c:pt idx="37">
                  <c:v>3004</c:v>
                </c:pt>
                <c:pt idx="38">
                  <c:v>3045</c:v>
                </c:pt>
                <c:pt idx="39">
                  <c:v>3127</c:v>
                </c:pt>
                <c:pt idx="40">
                  <c:v>3296</c:v>
                </c:pt>
                <c:pt idx="41">
                  <c:v>3296</c:v>
                </c:pt>
                <c:pt idx="42">
                  <c:v>3401</c:v>
                </c:pt>
                <c:pt idx="43">
                  <c:v>3426</c:v>
                </c:pt>
                <c:pt idx="44">
                  <c:v>3782</c:v>
                </c:pt>
                <c:pt idx="45">
                  <c:v>3945</c:v>
                </c:pt>
                <c:pt idx="46">
                  <c:v>3945</c:v>
                </c:pt>
                <c:pt idx="47">
                  <c:v>3945</c:v>
                </c:pt>
                <c:pt idx="48">
                  <c:v>3945</c:v>
                </c:pt>
                <c:pt idx="49">
                  <c:v>3945</c:v>
                </c:pt>
                <c:pt idx="50">
                  <c:v>4027</c:v>
                </c:pt>
                <c:pt idx="51">
                  <c:v>4028</c:v>
                </c:pt>
                <c:pt idx="52">
                  <c:v>4147</c:v>
                </c:pt>
                <c:pt idx="53">
                  <c:v>4159</c:v>
                </c:pt>
                <c:pt idx="54">
                  <c:v>4159</c:v>
                </c:pt>
                <c:pt idx="55">
                  <c:v>4434</c:v>
                </c:pt>
                <c:pt idx="56">
                  <c:v>4781</c:v>
                </c:pt>
                <c:pt idx="57">
                  <c:v>5143</c:v>
                </c:pt>
                <c:pt idx="58">
                  <c:v>5295</c:v>
                </c:pt>
                <c:pt idx="59">
                  <c:v>5517</c:v>
                </c:pt>
                <c:pt idx="60">
                  <c:v>5897</c:v>
                </c:pt>
                <c:pt idx="61">
                  <c:v>7024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23-4A56-9662-8C14A0C9E2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0">
                    <c:v>2E-3</c:v>
                  </c:pt>
                  <c:pt idx="56">
                    <c:v>8.0000000000000004E-4</c:v>
                  </c:pt>
                  <c:pt idx="58">
                    <c:v>4.0000000000000002E-4</c:v>
                  </c:pt>
                  <c:pt idx="59">
                    <c:v>8.9999999999999998E-4</c:v>
                  </c:pt>
                  <c:pt idx="60">
                    <c:v>8.9999999999999998E-4</c:v>
                  </c:pt>
                  <c:pt idx="6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-2385</c:v>
                </c:pt>
                <c:pt idx="1">
                  <c:v>-2384</c:v>
                </c:pt>
                <c:pt idx="2">
                  <c:v>-984</c:v>
                </c:pt>
                <c:pt idx="3">
                  <c:v>-330</c:v>
                </c:pt>
                <c:pt idx="4">
                  <c:v>-249</c:v>
                </c:pt>
                <c:pt idx="5">
                  <c:v>-225</c:v>
                </c:pt>
                <c:pt idx="6">
                  <c:v>0</c:v>
                </c:pt>
                <c:pt idx="7">
                  <c:v>0</c:v>
                </c:pt>
                <c:pt idx="8">
                  <c:v>380</c:v>
                </c:pt>
                <c:pt idx="9">
                  <c:v>381</c:v>
                </c:pt>
                <c:pt idx="10">
                  <c:v>522</c:v>
                </c:pt>
                <c:pt idx="11">
                  <c:v>666</c:v>
                </c:pt>
                <c:pt idx="12">
                  <c:v>747</c:v>
                </c:pt>
                <c:pt idx="13">
                  <c:v>890</c:v>
                </c:pt>
                <c:pt idx="14">
                  <c:v>926</c:v>
                </c:pt>
                <c:pt idx="15">
                  <c:v>997</c:v>
                </c:pt>
                <c:pt idx="16">
                  <c:v>1047</c:v>
                </c:pt>
                <c:pt idx="17">
                  <c:v>1139</c:v>
                </c:pt>
                <c:pt idx="18">
                  <c:v>1374</c:v>
                </c:pt>
                <c:pt idx="19">
                  <c:v>1386</c:v>
                </c:pt>
                <c:pt idx="20">
                  <c:v>1872</c:v>
                </c:pt>
                <c:pt idx="21">
                  <c:v>1911</c:v>
                </c:pt>
                <c:pt idx="22">
                  <c:v>2001</c:v>
                </c:pt>
                <c:pt idx="23">
                  <c:v>2004</c:v>
                </c:pt>
                <c:pt idx="24">
                  <c:v>2156</c:v>
                </c:pt>
                <c:pt idx="25">
                  <c:v>2266</c:v>
                </c:pt>
                <c:pt idx="26">
                  <c:v>2288</c:v>
                </c:pt>
                <c:pt idx="27">
                  <c:v>2303</c:v>
                </c:pt>
                <c:pt idx="28">
                  <c:v>2312</c:v>
                </c:pt>
                <c:pt idx="29">
                  <c:v>2510</c:v>
                </c:pt>
                <c:pt idx="30">
                  <c:v>2527</c:v>
                </c:pt>
                <c:pt idx="31">
                  <c:v>2549</c:v>
                </c:pt>
                <c:pt idx="32">
                  <c:v>2630</c:v>
                </c:pt>
                <c:pt idx="33">
                  <c:v>2645</c:v>
                </c:pt>
                <c:pt idx="34">
                  <c:v>2668</c:v>
                </c:pt>
                <c:pt idx="35">
                  <c:v>2788</c:v>
                </c:pt>
                <c:pt idx="36">
                  <c:v>2892</c:v>
                </c:pt>
                <c:pt idx="37">
                  <c:v>3004</c:v>
                </c:pt>
                <c:pt idx="38">
                  <c:v>3045</c:v>
                </c:pt>
                <c:pt idx="39">
                  <c:v>3127</c:v>
                </c:pt>
                <c:pt idx="40">
                  <c:v>3296</c:v>
                </c:pt>
                <c:pt idx="41">
                  <c:v>3296</c:v>
                </c:pt>
                <c:pt idx="42">
                  <c:v>3401</c:v>
                </c:pt>
                <c:pt idx="43">
                  <c:v>3426</c:v>
                </c:pt>
                <c:pt idx="44">
                  <c:v>3782</c:v>
                </c:pt>
                <c:pt idx="45">
                  <c:v>3945</c:v>
                </c:pt>
                <c:pt idx="46">
                  <c:v>3945</c:v>
                </c:pt>
                <c:pt idx="47">
                  <c:v>3945</c:v>
                </c:pt>
                <c:pt idx="48">
                  <c:v>3945</c:v>
                </c:pt>
                <c:pt idx="49">
                  <c:v>3945</c:v>
                </c:pt>
                <c:pt idx="50">
                  <c:v>4027</c:v>
                </c:pt>
                <c:pt idx="51">
                  <c:v>4028</c:v>
                </c:pt>
                <c:pt idx="52">
                  <c:v>4147</c:v>
                </c:pt>
                <c:pt idx="53">
                  <c:v>4159</c:v>
                </c:pt>
                <c:pt idx="54">
                  <c:v>4159</c:v>
                </c:pt>
                <c:pt idx="55">
                  <c:v>4434</c:v>
                </c:pt>
                <c:pt idx="56">
                  <c:v>4781</c:v>
                </c:pt>
                <c:pt idx="57">
                  <c:v>5143</c:v>
                </c:pt>
                <c:pt idx="58">
                  <c:v>5295</c:v>
                </c:pt>
                <c:pt idx="59">
                  <c:v>5517</c:v>
                </c:pt>
                <c:pt idx="60">
                  <c:v>5897</c:v>
                </c:pt>
                <c:pt idx="61">
                  <c:v>7024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23-4A56-9662-8C14A0C9E2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-2385</c:v>
                </c:pt>
                <c:pt idx="1">
                  <c:v>-2384</c:v>
                </c:pt>
                <c:pt idx="2">
                  <c:v>-984</c:v>
                </c:pt>
                <c:pt idx="3">
                  <c:v>-330</c:v>
                </c:pt>
                <c:pt idx="4">
                  <c:v>-249</c:v>
                </c:pt>
                <c:pt idx="5">
                  <c:v>-225</c:v>
                </c:pt>
                <c:pt idx="6">
                  <c:v>0</c:v>
                </c:pt>
                <c:pt idx="7">
                  <c:v>0</c:v>
                </c:pt>
                <c:pt idx="8">
                  <c:v>380</c:v>
                </c:pt>
                <c:pt idx="9">
                  <c:v>381</c:v>
                </c:pt>
                <c:pt idx="10">
                  <c:v>522</c:v>
                </c:pt>
                <c:pt idx="11">
                  <c:v>666</c:v>
                </c:pt>
                <c:pt idx="12">
                  <c:v>747</c:v>
                </c:pt>
                <c:pt idx="13">
                  <c:v>890</c:v>
                </c:pt>
                <c:pt idx="14">
                  <c:v>926</c:v>
                </c:pt>
                <c:pt idx="15">
                  <c:v>997</c:v>
                </c:pt>
                <c:pt idx="16">
                  <c:v>1047</c:v>
                </c:pt>
                <c:pt idx="17">
                  <c:v>1139</c:v>
                </c:pt>
                <c:pt idx="18">
                  <c:v>1374</c:v>
                </c:pt>
                <c:pt idx="19">
                  <c:v>1386</c:v>
                </c:pt>
                <c:pt idx="20">
                  <c:v>1872</c:v>
                </c:pt>
                <c:pt idx="21">
                  <c:v>1911</c:v>
                </c:pt>
                <c:pt idx="22">
                  <c:v>2001</c:v>
                </c:pt>
                <c:pt idx="23">
                  <c:v>2004</c:v>
                </c:pt>
                <c:pt idx="24">
                  <c:v>2156</c:v>
                </c:pt>
                <c:pt idx="25">
                  <c:v>2266</c:v>
                </c:pt>
                <c:pt idx="26">
                  <c:v>2288</c:v>
                </c:pt>
                <c:pt idx="27">
                  <c:v>2303</c:v>
                </c:pt>
                <c:pt idx="28">
                  <c:v>2312</c:v>
                </c:pt>
                <c:pt idx="29">
                  <c:v>2510</c:v>
                </c:pt>
                <c:pt idx="30">
                  <c:v>2527</c:v>
                </c:pt>
                <c:pt idx="31">
                  <c:v>2549</c:v>
                </c:pt>
                <c:pt idx="32">
                  <c:v>2630</c:v>
                </c:pt>
                <c:pt idx="33">
                  <c:v>2645</c:v>
                </c:pt>
                <c:pt idx="34">
                  <c:v>2668</c:v>
                </c:pt>
                <c:pt idx="35">
                  <c:v>2788</c:v>
                </c:pt>
                <c:pt idx="36">
                  <c:v>2892</c:v>
                </c:pt>
                <c:pt idx="37">
                  <c:v>3004</c:v>
                </c:pt>
                <c:pt idx="38">
                  <c:v>3045</c:v>
                </c:pt>
                <c:pt idx="39">
                  <c:v>3127</c:v>
                </c:pt>
                <c:pt idx="40">
                  <c:v>3296</c:v>
                </c:pt>
                <c:pt idx="41">
                  <c:v>3296</c:v>
                </c:pt>
                <c:pt idx="42">
                  <c:v>3401</c:v>
                </c:pt>
                <c:pt idx="43">
                  <c:v>3426</c:v>
                </c:pt>
                <c:pt idx="44">
                  <c:v>3782</c:v>
                </c:pt>
                <c:pt idx="45">
                  <c:v>3945</c:v>
                </c:pt>
                <c:pt idx="46">
                  <c:v>3945</c:v>
                </c:pt>
                <c:pt idx="47">
                  <c:v>3945</c:v>
                </c:pt>
                <c:pt idx="48">
                  <c:v>3945</c:v>
                </c:pt>
                <c:pt idx="49">
                  <c:v>3945</c:v>
                </c:pt>
                <c:pt idx="50">
                  <c:v>4027</c:v>
                </c:pt>
                <c:pt idx="51">
                  <c:v>4028</c:v>
                </c:pt>
                <c:pt idx="52">
                  <c:v>4147</c:v>
                </c:pt>
                <c:pt idx="53">
                  <c:v>4159</c:v>
                </c:pt>
                <c:pt idx="54">
                  <c:v>4159</c:v>
                </c:pt>
                <c:pt idx="55">
                  <c:v>4434</c:v>
                </c:pt>
                <c:pt idx="56">
                  <c:v>4781</c:v>
                </c:pt>
                <c:pt idx="57">
                  <c:v>5143</c:v>
                </c:pt>
                <c:pt idx="58">
                  <c:v>5295</c:v>
                </c:pt>
                <c:pt idx="59">
                  <c:v>5517</c:v>
                </c:pt>
                <c:pt idx="60">
                  <c:v>5897</c:v>
                </c:pt>
                <c:pt idx="61">
                  <c:v>7024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0.18280855152169309</c:v>
                </c:pt>
                <c:pt idx="1">
                  <c:v>0.18272357866362152</c:v>
                </c:pt>
                <c:pt idx="2">
                  <c:v>6.37615773634332E-2</c:v>
                </c:pt>
                <c:pt idx="3">
                  <c:v>8.1893281846309347E-3</c:v>
                </c:pt>
                <c:pt idx="4">
                  <c:v>1.3065266808343218E-3</c:v>
                </c:pt>
                <c:pt idx="5">
                  <c:v>-7.3282191288319073E-4</c:v>
                </c:pt>
                <c:pt idx="6">
                  <c:v>-1.9851714978984886E-2</c:v>
                </c:pt>
                <c:pt idx="7">
                  <c:v>-1.9851714978984886E-2</c:v>
                </c:pt>
                <c:pt idx="8">
                  <c:v>-5.2141401046178856E-2</c:v>
                </c:pt>
                <c:pt idx="9">
                  <c:v>-5.2226373904250424E-2</c:v>
                </c:pt>
                <c:pt idx="10">
                  <c:v>-6.4207546892340817E-2</c:v>
                </c:pt>
                <c:pt idx="11">
                  <c:v>-7.6443638454645912E-2</c:v>
                </c:pt>
                <c:pt idx="12">
                  <c:v>-8.3326439958442508E-2</c:v>
                </c:pt>
                <c:pt idx="13">
                  <c:v>-9.5477558662676029E-2</c:v>
                </c:pt>
                <c:pt idx="14">
                  <c:v>-9.8536581553252303E-2</c:v>
                </c:pt>
                <c:pt idx="15">
                  <c:v>-0.10456965447633329</c:v>
                </c:pt>
                <c:pt idx="16">
                  <c:v>-0.10881829737991144</c:v>
                </c:pt>
                <c:pt idx="17">
                  <c:v>-0.11663580032249525</c:v>
                </c:pt>
                <c:pt idx="18">
                  <c:v>-0.13660442196931255</c:v>
                </c:pt>
                <c:pt idx="19">
                  <c:v>-0.13762409626617134</c:v>
                </c:pt>
                <c:pt idx="20">
                  <c:v>-0.17892090528895099</c:v>
                </c:pt>
                <c:pt idx="21">
                  <c:v>-0.18223484675374194</c:v>
                </c:pt>
                <c:pt idx="22">
                  <c:v>-0.18988240398018263</c:v>
                </c:pt>
                <c:pt idx="23">
                  <c:v>-0.1901373225543973</c:v>
                </c:pt>
                <c:pt idx="24">
                  <c:v>-0.20305319698127491</c:v>
                </c:pt>
                <c:pt idx="25">
                  <c:v>-0.21240021136914686</c:v>
                </c:pt>
                <c:pt idx="26">
                  <c:v>-0.21426961424672122</c:v>
                </c:pt>
                <c:pt idx="27">
                  <c:v>-0.21554420711779468</c:v>
                </c:pt>
                <c:pt idx="28">
                  <c:v>-0.21630896284043874</c:v>
                </c:pt>
                <c:pt idx="29">
                  <c:v>-0.23313358873860823</c:v>
                </c:pt>
                <c:pt idx="30">
                  <c:v>-0.23457812732582481</c:v>
                </c:pt>
                <c:pt idx="31">
                  <c:v>-0.2364475302033992</c:v>
                </c:pt>
                <c:pt idx="32">
                  <c:v>-0.24333033170719581</c:v>
                </c:pt>
                <c:pt idx="33">
                  <c:v>-0.24460492457826927</c:v>
                </c:pt>
                <c:pt idx="34">
                  <c:v>-0.24655930031391521</c:v>
                </c:pt>
                <c:pt idx="35">
                  <c:v>-0.25675604328250279</c:v>
                </c:pt>
                <c:pt idx="36">
                  <c:v>-0.26559322052194534</c:v>
                </c:pt>
                <c:pt idx="37">
                  <c:v>-0.27511018062596038</c:v>
                </c:pt>
                <c:pt idx="38">
                  <c:v>-0.27859406780689444</c:v>
                </c:pt>
                <c:pt idx="39">
                  <c:v>-0.28556184216876268</c:v>
                </c:pt>
                <c:pt idx="40">
                  <c:v>-0.29992225518285687</c:v>
                </c:pt>
                <c:pt idx="41">
                  <c:v>-0.29992225518285687</c:v>
                </c:pt>
                <c:pt idx="42">
                  <c:v>-0.30884440528037094</c:v>
                </c:pt>
                <c:pt idx="43">
                  <c:v>-0.31096872673216003</c:v>
                </c:pt>
                <c:pt idx="44">
                  <c:v>-0.34121906420563652</c:v>
                </c:pt>
                <c:pt idx="45">
                  <c:v>-0.35506964007130126</c:v>
                </c:pt>
                <c:pt idx="46">
                  <c:v>-0.35506964007130126</c:v>
                </c:pt>
                <c:pt idx="47">
                  <c:v>-0.35506964007130126</c:v>
                </c:pt>
                <c:pt idx="48">
                  <c:v>-0.35506964007130126</c:v>
                </c:pt>
                <c:pt idx="49">
                  <c:v>-0.35506964007130126</c:v>
                </c:pt>
                <c:pt idx="50">
                  <c:v>-0.36203741443316939</c:v>
                </c:pt>
                <c:pt idx="51">
                  <c:v>-0.36212238729124102</c:v>
                </c:pt>
                <c:pt idx="52">
                  <c:v>-0.37223415740175703</c:v>
                </c:pt>
                <c:pt idx="53">
                  <c:v>-0.37325383169861581</c:v>
                </c:pt>
                <c:pt idx="54">
                  <c:v>-0.37325383169861581</c:v>
                </c:pt>
                <c:pt idx="55">
                  <c:v>-0.39662136766829559</c:v>
                </c:pt>
                <c:pt idx="56">
                  <c:v>-0.42610694941912797</c:v>
                </c:pt>
                <c:pt idx="57">
                  <c:v>-0.4568671240410338</c:v>
                </c:pt>
                <c:pt idx="58">
                  <c:v>-0.46978299846791149</c:v>
                </c:pt>
                <c:pt idx="59">
                  <c:v>-0.48864697295979842</c:v>
                </c:pt>
                <c:pt idx="60">
                  <c:v>-0.52093665902699238</c:v>
                </c:pt>
                <c:pt idx="61">
                  <c:v>-0.61670107007364394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23-4A56-9662-8C14A0C9E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294968"/>
        <c:axId val="1"/>
      </c:scatterChart>
      <c:valAx>
        <c:axId val="635294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294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85800482532574"/>
          <c:y val="0.92024539877300615"/>
          <c:w val="0.8077551210783627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28575</xdr:rowOff>
    </xdr:from>
    <xdr:to>
      <xdr:col>15</xdr:col>
      <xdr:colOff>228600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A320F69-9925-FE53-5A1E-786D664B2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694" TargetMode="External"/><Relationship Id="rId7" Type="http://schemas.openxmlformats.org/officeDocument/2006/relationships/hyperlink" Target="http://www.konkoly.hu/cgi-bin/IBVS?6093" TargetMode="External"/><Relationship Id="rId2" Type="http://schemas.openxmlformats.org/officeDocument/2006/relationships/hyperlink" Target="http://www.konkoly.hu/cgi-bin/IBVS?3877" TargetMode="External"/><Relationship Id="rId1" Type="http://schemas.openxmlformats.org/officeDocument/2006/relationships/hyperlink" Target="http://www.konkoly.hu/cgi-bin/IBVS?64" TargetMode="External"/><Relationship Id="rId6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6.710937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7" t="s">
        <v>29</v>
      </c>
      <c r="B1" s="8"/>
      <c r="C1" s="8"/>
      <c r="D1" s="8"/>
    </row>
    <row r="2" spans="1:7" x14ac:dyDescent="0.2">
      <c r="A2" t="s">
        <v>23</v>
      </c>
      <c r="B2" s="9" t="s">
        <v>30</v>
      </c>
      <c r="C2" s="8"/>
      <c r="D2" s="8"/>
    </row>
    <row r="3" spans="1:7" ht="13.5" thickBot="1" x14ac:dyDescent="0.25">
      <c r="B3" s="8" t="s">
        <v>31</v>
      </c>
      <c r="C3" s="10"/>
      <c r="D3" s="10"/>
    </row>
    <row r="4" spans="1:7" ht="13.5" thickBot="1" x14ac:dyDescent="0.25">
      <c r="A4" s="4" t="s">
        <v>0</v>
      </c>
      <c r="B4" s="11"/>
      <c r="C4" s="12">
        <v>39395.519999999997</v>
      </c>
      <c r="D4" s="13">
        <v>2.9156930000000001</v>
      </c>
    </row>
    <row r="5" spans="1:7" x14ac:dyDescent="0.2">
      <c r="B5" s="8"/>
      <c r="C5" s="14"/>
      <c r="D5" s="14"/>
    </row>
    <row r="6" spans="1:7" x14ac:dyDescent="0.2">
      <c r="A6" s="4" t="s">
        <v>1</v>
      </c>
      <c r="B6" s="8"/>
      <c r="C6" s="8"/>
      <c r="D6" s="8"/>
    </row>
    <row r="7" spans="1:7" x14ac:dyDescent="0.2">
      <c r="A7" t="s">
        <v>2</v>
      </c>
      <c r="B7" s="8"/>
      <c r="C7" s="8">
        <f>C4</f>
        <v>39395.519999999997</v>
      </c>
      <c r="D7" s="8"/>
    </row>
    <row r="8" spans="1:7" x14ac:dyDescent="0.2">
      <c r="A8" t="s">
        <v>3</v>
      </c>
      <c r="B8" s="8"/>
      <c r="C8" s="8">
        <f>D4</f>
        <v>2.9156930000000001</v>
      </c>
      <c r="D8" s="8"/>
    </row>
    <row r="9" spans="1:7" x14ac:dyDescent="0.2">
      <c r="A9" s="16" t="s">
        <v>45</v>
      </c>
      <c r="B9" s="17"/>
      <c r="C9" s="18">
        <v>-9.5</v>
      </c>
      <c r="D9" s="17" t="s">
        <v>46</v>
      </c>
      <c r="E9" s="17"/>
    </row>
    <row r="10" spans="1:7" ht="13.5" thickBot="1" x14ac:dyDescent="0.25">
      <c r="A10" s="17"/>
      <c r="B10" s="17"/>
      <c r="C10" s="3" t="s">
        <v>19</v>
      </c>
      <c r="D10" s="3" t="s">
        <v>20</v>
      </c>
      <c r="E10" s="17"/>
    </row>
    <row r="11" spans="1:7" x14ac:dyDescent="0.2">
      <c r="A11" s="17" t="s">
        <v>15</v>
      </c>
      <c r="B11" s="17"/>
      <c r="C11" s="30">
        <f ca="1">INTERCEPT(INDIRECT($G$11):G992,INDIRECT($F$11):F992)</f>
        <v>-1.9851714978984886E-2</v>
      </c>
      <c r="D11" s="2"/>
      <c r="E11" s="17"/>
      <c r="F11" s="31" t="str">
        <f>"F"&amp;E19</f>
        <v>F21</v>
      </c>
      <c r="G11" s="32" t="str">
        <f>"G"&amp;E19</f>
        <v>G21</v>
      </c>
    </row>
    <row r="12" spans="1:7" x14ac:dyDescent="0.2">
      <c r="A12" s="17" t="s">
        <v>16</v>
      </c>
      <c r="B12" s="17"/>
      <c r="C12" s="30">
        <f ca="1">SLOPE(INDIRECT($G$11):G992,INDIRECT($F$11):F992)</f>
        <v>-8.4972858071563089E-5</v>
      </c>
      <c r="D12" s="2"/>
      <c r="E12" s="17"/>
    </row>
    <row r="13" spans="1:7" x14ac:dyDescent="0.2">
      <c r="A13" s="17" t="s">
        <v>18</v>
      </c>
      <c r="B13" s="17"/>
      <c r="C13" s="2" t="s">
        <v>47</v>
      </c>
      <c r="D13" s="21" t="s">
        <v>54</v>
      </c>
      <c r="E13" s="18">
        <v>1</v>
      </c>
    </row>
    <row r="14" spans="1:7" x14ac:dyDescent="0.2">
      <c r="A14" s="17"/>
      <c r="B14" s="17"/>
      <c r="C14" s="17"/>
      <c r="D14" s="21" t="s">
        <v>48</v>
      </c>
      <c r="E14" s="22">
        <f ca="1">NOW()+15018.5+$C$9/24</f>
        <v>60162.823345717588</v>
      </c>
    </row>
    <row r="15" spans="1:7" x14ac:dyDescent="0.2">
      <c r="A15" s="19" t="s">
        <v>17</v>
      </c>
      <c r="B15" s="17"/>
      <c r="C15" s="20">
        <f ca="1">(C7+C11)+(C8+C12)*INT(MAX(F21:F3533))</f>
        <v>59874.730930929931</v>
      </c>
      <c r="D15" s="21" t="s">
        <v>55</v>
      </c>
      <c r="E15" s="22">
        <f ca="1">ROUND(2*(E14-$C$7)/$C$8,0)/2+E13</f>
        <v>7123.5</v>
      </c>
    </row>
    <row r="16" spans="1:7" x14ac:dyDescent="0.2">
      <c r="A16" s="23" t="s">
        <v>4</v>
      </c>
      <c r="B16" s="17"/>
      <c r="C16" s="24">
        <f ca="1">+C8+C12</f>
        <v>2.9156080271419285</v>
      </c>
      <c r="D16" s="21" t="s">
        <v>49</v>
      </c>
      <c r="E16" s="32">
        <f ca="1">ROUND(2*(E14-$C$15)/$C$16,0)/2+E13</f>
        <v>100</v>
      </c>
    </row>
    <row r="17" spans="1:17" ht="13.5" thickBot="1" x14ac:dyDescent="0.25">
      <c r="A17" s="21" t="s">
        <v>28</v>
      </c>
      <c r="B17" s="17"/>
      <c r="C17" s="17">
        <f>COUNT(C21:C2191)</f>
        <v>62</v>
      </c>
      <c r="D17" s="21" t="s">
        <v>50</v>
      </c>
      <c r="E17" s="25">
        <f ca="1">+$C$15+$C$16*E16-15018.5-$C$9/24</f>
        <v>45148.18756697746</v>
      </c>
    </row>
    <row r="18" spans="1:17" ht="14.25" thickTop="1" thickBot="1" x14ac:dyDescent="0.25">
      <c r="A18" s="23" t="s">
        <v>5</v>
      </c>
      <c r="B18" s="17"/>
      <c r="C18" s="26">
        <f ca="1">+C15</f>
        <v>59874.730930929931</v>
      </c>
      <c r="D18" s="27">
        <f ca="1">+C16</f>
        <v>2.9156080271419285</v>
      </c>
      <c r="E18" s="28" t="s">
        <v>51</v>
      </c>
    </row>
    <row r="19" spans="1:17" ht="13.5" thickTop="1" x14ac:dyDescent="0.2">
      <c r="A19" s="33" t="s">
        <v>52</v>
      </c>
      <c r="E19" s="34">
        <v>21</v>
      </c>
    </row>
    <row r="20" spans="1:17" ht="13.5" thickBot="1" x14ac:dyDescent="0.25">
      <c r="A20" s="15" t="s">
        <v>6</v>
      </c>
      <c r="B20" s="15" t="s">
        <v>7</v>
      </c>
      <c r="C20" s="15" t="s">
        <v>8</v>
      </c>
      <c r="D20" s="15" t="s">
        <v>13</v>
      </c>
      <c r="E20" s="3" t="s">
        <v>9</v>
      </c>
      <c r="F20" s="3" t="s">
        <v>10</v>
      </c>
      <c r="G20" s="3" t="s">
        <v>11</v>
      </c>
      <c r="H20" s="6" t="s">
        <v>12</v>
      </c>
      <c r="I20" s="6" t="s">
        <v>27</v>
      </c>
      <c r="J20" s="6" t="s">
        <v>43</v>
      </c>
      <c r="K20" s="6" t="s">
        <v>44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7" x14ac:dyDescent="0.2">
      <c r="A21" s="55" t="s">
        <v>75</v>
      </c>
      <c r="B21" s="57" t="s">
        <v>42</v>
      </c>
      <c r="C21" s="55">
        <v>32441.525000000001</v>
      </c>
      <c r="D21" s="61"/>
      <c r="E21">
        <f t="shared" ref="E21:E52" si="0">+(C21-C$7)/C$8</f>
        <v>-2385.0230459791187</v>
      </c>
      <c r="F21">
        <f t="shared" ref="F21:F52" si="1">ROUND(2*E21,0)/2</f>
        <v>-2385</v>
      </c>
      <c r="G21">
        <f t="shared" ref="G21:G52" si="2">+C21-(C$7+F21*C$8)</f>
        <v>-6.7194999995990656E-2</v>
      </c>
      <c r="L21">
        <f t="shared" ref="L21:L27" si="3">+G21</f>
        <v>-6.7194999995990656E-2</v>
      </c>
      <c r="O21">
        <f t="shared" ref="O21:O52" ca="1" si="4">+C$11+C$12*$F21</f>
        <v>0.18280855152169309</v>
      </c>
      <c r="Q21" s="1">
        <f t="shared" ref="Q21:Q52" si="5">+C21-15018.5</f>
        <v>17423.025000000001</v>
      </c>
    </row>
    <row r="22" spans="1:17" x14ac:dyDescent="0.2">
      <c r="A22" s="54" t="s">
        <v>75</v>
      </c>
      <c r="B22" s="56" t="s">
        <v>42</v>
      </c>
      <c r="C22" s="54">
        <v>32444.473999999998</v>
      </c>
      <c r="D22" s="60"/>
      <c r="E22">
        <f t="shared" si="0"/>
        <v>-2384.0116226228201</v>
      </c>
      <c r="F22">
        <f t="shared" si="1"/>
        <v>-2384</v>
      </c>
      <c r="G22">
        <f t="shared" si="2"/>
        <v>-3.3887999998114537E-2</v>
      </c>
      <c r="L22">
        <f t="shared" si="3"/>
        <v>-3.3887999998114537E-2</v>
      </c>
      <c r="O22">
        <f t="shared" ca="1" si="4"/>
        <v>0.18272357866362152</v>
      </c>
      <c r="Q22" s="1">
        <f t="shared" si="5"/>
        <v>17425.973999999998</v>
      </c>
    </row>
    <row r="23" spans="1:17" x14ac:dyDescent="0.2">
      <c r="A23" s="54" t="s">
        <v>75</v>
      </c>
      <c r="B23" s="56" t="s">
        <v>42</v>
      </c>
      <c r="C23" s="54">
        <v>36526.542999999998</v>
      </c>
      <c r="D23" s="59"/>
      <c r="E23">
        <f t="shared" si="0"/>
        <v>-983.97773702512541</v>
      </c>
      <c r="F23">
        <f t="shared" si="1"/>
        <v>-984</v>
      </c>
      <c r="G23">
        <f t="shared" si="2"/>
        <v>6.491200000164099E-2</v>
      </c>
      <c r="L23">
        <f t="shared" si="3"/>
        <v>6.491200000164099E-2</v>
      </c>
      <c r="O23">
        <f t="shared" ca="1" si="4"/>
        <v>6.37615773634332E-2</v>
      </c>
      <c r="Q23" s="1">
        <f t="shared" si="5"/>
        <v>21508.042999999998</v>
      </c>
    </row>
    <row r="24" spans="1:17" x14ac:dyDescent="0.2">
      <c r="A24" s="54" t="s">
        <v>86</v>
      </c>
      <c r="B24" s="56" t="s">
        <v>42</v>
      </c>
      <c r="C24" s="54">
        <v>38433.339999999997</v>
      </c>
      <c r="D24" s="59"/>
      <c r="E24">
        <f t="shared" si="0"/>
        <v>-330.000449292844</v>
      </c>
      <c r="F24">
        <f t="shared" si="1"/>
        <v>-330</v>
      </c>
      <c r="G24">
        <f t="shared" si="2"/>
        <v>-1.3099999996484257E-3</v>
      </c>
      <c r="L24">
        <f t="shared" si="3"/>
        <v>-1.3099999996484257E-3</v>
      </c>
      <c r="O24">
        <f t="shared" ca="1" si="4"/>
        <v>8.1893281846309347E-3</v>
      </c>
      <c r="Q24" s="1">
        <f t="shared" si="5"/>
        <v>23414.839999999997</v>
      </c>
    </row>
    <row r="25" spans="1:17" x14ac:dyDescent="0.2">
      <c r="A25" s="54" t="s">
        <v>91</v>
      </c>
      <c r="B25" s="56" t="s">
        <v>42</v>
      </c>
      <c r="C25" s="54">
        <v>38669.468999999997</v>
      </c>
      <c r="D25" s="59"/>
      <c r="E25">
        <f t="shared" si="0"/>
        <v>-249.01489971680815</v>
      </c>
      <c r="F25">
        <f t="shared" si="1"/>
        <v>-249</v>
      </c>
      <c r="G25">
        <f t="shared" si="2"/>
        <v>-4.3443000002298504E-2</v>
      </c>
      <c r="L25">
        <f t="shared" si="3"/>
        <v>-4.3443000002298504E-2</v>
      </c>
      <c r="O25">
        <f t="shared" ca="1" si="4"/>
        <v>1.3065266808343218E-3</v>
      </c>
      <c r="Q25" s="1">
        <f t="shared" si="5"/>
        <v>23650.968999999997</v>
      </c>
    </row>
    <row r="26" spans="1:17" x14ac:dyDescent="0.2">
      <c r="A26" s="54" t="s">
        <v>96</v>
      </c>
      <c r="B26" s="56" t="s">
        <v>42</v>
      </c>
      <c r="C26" s="54">
        <v>38739.521000000001</v>
      </c>
      <c r="D26" s="59"/>
      <c r="E26">
        <f t="shared" si="0"/>
        <v>-224.98905063050057</v>
      </c>
      <c r="F26">
        <f t="shared" si="1"/>
        <v>-225</v>
      </c>
      <c r="G26">
        <f t="shared" si="2"/>
        <v>3.1925000002956949E-2</v>
      </c>
      <c r="L26">
        <f t="shared" si="3"/>
        <v>3.1925000002956949E-2</v>
      </c>
      <c r="O26">
        <f t="shared" ca="1" si="4"/>
        <v>-7.3282191288319073E-4</v>
      </c>
      <c r="Q26" s="1">
        <f t="shared" si="5"/>
        <v>23721.021000000001</v>
      </c>
    </row>
    <row r="27" spans="1:17" x14ac:dyDescent="0.2">
      <c r="A27" s="54" t="s">
        <v>91</v>
      </c>
      <c r="B27" s="56" t="s">
        <v>42</v>
      </c>
      <c r="C27" s="54">
        <v>39395.519</v>
      </c>
      <c r="D27" s="59"/>
      <c r="E27">
        <f t="shared" si="0"/>
        <v>-3.4297163541077474E-4</v>
      </c>
      <c r="F27">
        <f t="shared" si="1"/>
        <v>0</v>
      </c>
      <c r="G27">
        <f t="shared" si="2"/>
        <v>-9.9999999656574801E-4</v>
      </c>
      <c r="L27">
        <f t="shared" si="3"/>
        <v>-9.9999999656574801E-4</v>
      </c>
      <c r="O27">
        <f t="shared" ca="1" si="4"/>
        <v>-1.9851714978984886E-2</v>
      </c>
      <c r="Q27" s="1">
        <f t="shared" si="5"/>
        <v>24377.019</v>
      </c>
    </row>
    <row r="28" spans="1:17" x14ac:dyDescent="0.2">
      <c r="A28" s="8" t="s">
        <v>12</v>
      </c>
      <c r="B28" s="8"/>
      <c r="C28" s="29">
        <f>C$4</f>
        <v>39395.519999999997</v>
      </c>
      <c r="D28" s="29"/>
      <c r="E28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O28">
        <f t="shared" ca="1" si="4"/>
        <v>-1.9851714978984886E-2</v>
      </c>
      <c r="Q28" s="1">
        <f t="shared" si="5"/>
        <v>24377.019999999997</v>
      </c>
    </row>
    <row r="29" spans="1:17" x14ac:dyDescent="0.2">
      <c r="A29" s="54" t="s">
        <v>91</v>
      </c>
      <c r="B29" s="56" t="s">
        <v>42</v>
      </c>
      <c r="C29" s="54">
        <v>40503.49</v>
      </c>
      <c r="D29" s="59"/>
      <c r="E29">
        <f t="shared" si="0"/>
        <v>380.00228419110005</v>
      </c>
      <c r="F29">
        <f t="shared" si="1"/>
        <v>380</v>
      </c>
      <c r="G29">
        <f t="shared" si="2"/>
        <v>6.6599999991012737E-3</v>
      </c>
      <c r="L29">
        <f t="shared" ref="L29:L53" si="6">+G29</f>
        <v>6.6599999991012737E-3</v>
      </c>
      <c r="O29">
        <f t="shared" ca="1" si="4"/>
        <v>-5.2141401046178856E-2</v>
      </c>
      <c r="Q29" s="1">
        <f t="shared" si="5"/>
        <v>25484.989999999998</v>
      </c>
    </row>
    <row r="30" spans="1:17" x14ac:dyDescent="0.2">
      <c r="A30" s="54" t="s">
        <v>96</v>
      </c>
      <c r="B30" s="56" t="s">
        <v>42</v>
      </c>
      <c r="C30" s="54">
        <v>40506.387999999999</v>
      </c>
      <c r="D30" s="59"/>
      <c r="E30">
        <f t="shared" si="0"/>
        <v>380.99621599393424</v>
      </c>
      <c r="F30">
        <f t="shared" si="1"/>
        <v>381</v>
      </c>
      <c r="G30">
        <f t="shared" si="2"/>
        <v>-1.1032999995222781E-2</v>
      </c>
      <c r="L30">
        <f t="shared" si="6"/>
        <v>-1.1032999995222781E-2</v>
      </c>
      <c r="O30">
        <f t="shared" ca="1" si="4"/>
        <v>-5.2226373904250424E-2</v>
      </c>
      <c r="Q30" s="1">
        <f t="shared" si="5"/>
        <v>25487.887999999999</v>
      </c>
    </row>
    <row r="31" spans="1:17" x14ac:dyDescent="0.2">
      <c r="A31" s="54" t="s">
        <v>75</v>
      </c>
      <c r="B31" s="56" t="s">
        <v>42</v>
      </c>
      <c r="C31" s="54">
        <v>40917.453000000001</v>
      </c>
      <c r="D31" s="59"/>
      <c r="E31">
        <f t="shared" si="0"/>
        <v>521.97985178823853</v>
      </c>
      <c r="F31">
        <f t="shared" si="1"/>
        <v>522</v>
      </c>
      <c r="G31">
        <f t="shared" si="2"/>
        <v>-5.8745999995153397E-2</v>
      </c>
      <c r="L31">
        <f t="shared" si="6"/>
        <v>-5.8745999995153397E-2</v>
      </c>
      <c r="O31">
        <f t="shared" ca="1" si="4"/>
        <v>-6.4207546892340817E-2</v>
      </c>
      <c r="Q31" s="1">
        <f t="shared" si="5"/>
        <v>25898.953000000001</v>
      </c>
    </row>
    <row r="32" spans="1:17" x14ac:dyDescent="0.2">
      <c r="A32" s="54" t="s">
        <v>96</v>
      </c>
      <c r="B32" s="56" t="s">
        <v>42</v>
      </c>
      <c r="C32" s="54">
        <v>41337.355000000003</v>
      </c>
      <c r="D32" s="59"/>
      <c r="E32">
        <f t="shared" si="0"/>
        <v>665.99432793507629</v>
      </c>
      <c r="F32">
        <f t="shared" si="1"/>
        <v>666</v>
      </c>
      <c r="G32">
        <f t="shared" si="2"/>
        <v>-1.6537999996216968E-2</v>
      </c>
      <c r="L32">
        <f t="shared" si="6"/>
        <v>-1.6537999996216968E-2</v>
      </c>
      <c r="O32">
        <f t="shared" ca="1" si="4"/>
        <v>-7.6443638454645912E-2</v>
      </c>
      <c r="Q32" s="1">
        <f t="shared" si="5"/>
        <v>26318.855000000003</v>
      </c>
    </row>
    <row r="33" spans="1:17" x14ac:dyDescent="0.2">
      <c r="A33" s="54" t="s">
        <v>75</v>
      </c>
      <c r="B33" s="56" t="s">
        <v>42</v>
      </c>
      <c r="C33" s="54">
        <v>41573.512000000002</v>
      </c>
      <c r="D33" s="59"/>
      <c r="E33">
        <f t="shared" si="0"/>
        <v>746.9894807169361</v>
      </c>
      <c r="F33">
        <f t="shared" si="1"/>
        <v>747</v>
      </c>
      <c r="G33">
        <f t="shared" si="2"/>
        <v>-3.0670999993162695E-2</v>
      </c>
      <c r="L33">
        <f t="shared" si="6"/>
        <v>-3.0670999993162695E-2</v>
      </c>
      <c r="O33">
        <f t="shared" ca="1" si="4"/>
        <v>-8.3326439958442508E-2</v>
      </c>
      <c r="Q33" s="1">
        <f t="shared" si="5"/>
        <v>26555.012000000002</v>
      </c>
    </row>
    <row r="34" spans="1:17" x14ac:dyDescent="0.2">
      <c r="A34" s="54" t="s">
        <v>75</v>
      </c>
      <c r="B34" s="56" t="s">
        <v>42</v>
      </c>
      <c r="C34" s="54">
        <v>41990.472999999998</v>
      </c>
      <c r="D34" s="59"/>
      <c r="E34">
        <f t="shared" si="0"/>
        <v>889.99527728056455</v>
      </c>
      <c r="F34">
        <f t="shared" si="1"/>
        <v>890</v>
      </c>
      <c r="G34">
        <f t="shared" si="2"/>
        <v>-1.3769999997748528E-2</v>
      </c>
      <c r="L34">
        <f t="shared" si="6"/>
        <v>-1.3769999997748528E-2</v>
      </c>
      <c r="O34">
        <f t="shared" ca="1" si="4"/>
        <v>-9.5477558662676029E-2</v>
      </c>
      <c r="Q34" s="1">
        <f t="shared" si="5"/>
        <v>26971.972999999998</v>
      </c>
    </row>
    <row r="35" spans="1:17" x14ac:dyDescent="0.2">
      <c r="A35" s="51" t="s">
        <v>75</v>
      </c>
      <c r="B35" s="52" t="s">
        <v>42</v>
      </c>
      <c r="C35" s="51">
        <v>42095.286</v>
      </c>
      <c r="D35" s="2"/>
      <c r="E35">
        <f t="shared" si="0"/>
        <v>925.94316342632885</v>
      </c>
      <c r="F35">
        <f t="shared" si="1"/>
        <v>926</v>
      </c>
      <c r="G35">
        <f t="shared" si="2"/>
        <v>-0.16571799999655923</v>
      </c>
      <c r="L35">
        <f t="shared" si="6"/>
        <v>-0.16571799999655923</v>
      </c>
      <c r="O35">
        <f t="shared" ca="1" si="4"/>
        <v>-9.8536581553252303E-2</v>
      </c>
      <c r="Q35" s="1">
        <f t="shared" si="5"/>
        <v>27076.786</v>
      </c>
    </row>
    <row r="36" spans="1:17" x14ac:dyDescent="0.2">
      <c r="A36" s="51" t="s">
        <v>75</v>
      </c>
      <c r="B36" s="52" t="s">
        <v>42</v>
      </c>
      <c r="C36" s="51">
        <v>42302.512000000002</v>
      </c>
      <c r="E36">
        <f t="shared" si="0"/>
        <v>997.01580379004429</v>
      </c>
      <c r="F36">
        <f t="shared" si="1"/>
        <v>997</v>
      </c>
      <c r="G36">
        <f t="shared" si="2"/>
        <v>4.6079000007011928E-2</v>
      </c>
      <c r="L36">
        <f t="shared" si="6"/>
        <v>4.6079000007011928E-2</v>
      </c>
      <c r="O36">
        <f t="shared" ca="1" si="4"/>
        <v>-0.10456965447633329</v>
      </c>
      <c r="Q36" s="1">
        <f t="shared" si="5"/>
        <v>27284.012000000002</v>
      </c>
    </row>
    <row r="37" spans="1:17" x14ac:dyDescent="0.2">
      <c r="A37" s="51" t="s">
        <v>75</v>
      </c>
      <c r="B37" s="52" t="s">
        <v>42</v>
      </c>
      <c r="C37" s="51">
        <v>42448.271999999997</v>
      </c>
      <c r="E37">
        <f t="shared" si="0"/>
        <v>1047.0073495392005</v>
      </c>
      <c r="F37">
        <f t="shared" si="1"/>
        <v>1047</v>
      </c>
      <c r="G37">
        <f t="shared" si="2"/>
        <v>2.1429000000352971E-2</v>
      </c>
      <c r="L37">
        <f t="shared" si="6"/>
        <v>2.1429000000352971E-2</v>
      </c>
      <c r="O37">
        <f t="shared" ca="1" si="4"/>
        <v>-0.10881829737991144</v>
      </c>
      <c r="Q37" s="1">
        <f t="shared" si="5"/>
        <v>27429.771999999997</v>
      </c>
    </row>
    <row r="38" spans="1:17" x14ac:dyDescent="0.2">
      <c r="A38" s="51" t="s">
        <v>75</v>
      </c>
      <c r="B38" s="52" t="s">
        <v>42</v>
      </c>
      <c r="C38" s="51">
        <v>42716.466999999997</v>
      </c>
      <c r="E38">
        <f t="shared" si="0"/>
        <v>1138.9906276140869</v>
      </c>
      <c r="F38">
        <f t="shared" si="1"/>
        <v>1139</v>
      </c>
      <c r="G38">
        <f t="shared" si="2"/>
        <v>-2.7326999996148515E-2</v>
      </c>
      <c r="L38">
        <f t="shared" si="6"/>
        <v>-2.7326999996148515E-2</v>
      </c>
      <c r="O38">
        <f t="shared" ca="1" si="4"/>
        <v>-0.11663580032249525</v>
      </c>
      <c r="Q38" s="1">
        <f t="shared" si="5"/>
        <v>27697.966999999997</v>
      </c>
    </row>
    <row r="39" spans="1:17" x14ac:dyDescent="0.2">
      <c r="A39" s="51" t="s">
        <v>75</v>
      </c>
      <c r="B39" s="52" t="s">
        <v>42</v>
      </c>
      <c r="C39" s="51">
        <v>43401.561000000002</v>
      </c>
      <c r="E39">
        <f t="shared" si="0"/>
        <v>1373.9584380111364</v>
      </c>
      <c r="F39">
        <f t="shared" si="1"/>
        <v>1374</v>
      </c>
      <c r="G39">
        <f t="shared" si="2"/>
        <v>-0.12118199999531498</v>
      </c>
      <c r="L39">
        <f t="shared" si="6"/>
        <v>-0.12118199999531498</v>
      </c>
      <c r="O39">
        <f t="shared" ca="1" si="4"/>
        <v>-0.13660442196931255</v>
      </c>
      <c r="Q39" s="1">
        <f t="shared" si="5"/>
        <v>28383.061000000002</v>
      </c>
    </row>
    <row r="40" spans="1:17" x14ac:dyDescent="0.2">
      <c r="A40" s="51" t="s">
        <v>75</v>
      </c>
      <c r="B40" s="52" t="s">
        <v>42</v>
      </c>
      <c r="C40" s="51">
        <v>43436.510999999999</v>
      </c>
      <c r="E40">
        <f t="shared" si="0"/>
        <v>1385.945296709908</v>
      </c>
      <c r="F40">
        <f t="shared" si="1"/>
        <v>1386</v>
      </c>
      <c r="G40">
        <f t="shared" si="2"/>
        <v>-0.15949800000089454</v>
      </c>
      <c r="L40">
        <f t="shared" si="6"/>
        <v>-0.15949800000089454</v>
      </c>
      <c r="O40">
        <f t="shared" ca="1" si="4"/>
        <v>-0.13762409626617134</v>
      </c>
      <c r="Q40" s="1">
        <f t="shared" si="5"/>
        <v>28418.010999999999</v>
      </c>
    </row>
    <row r="41" spans="1:17" x14ac:dyDescent="0.2">
      <c r="A41" s="51" t="s">
        <v>75</v>
      </c>
      <c r="B41" s="52" t="s">
        <v>42</v>
      </c>
      <c r="C41" s="51">
        <v>44853.533000000003</v>
      </c>
      <c r="E41">
        <f t="shared" si="0"/>
        <v>1871.9436511319971</v>
      </c>
      <c r="F41">
        <f t="shared" si="1"/>
        <v>1872</v>
      </c>
      <c r="G41">
        <f t="shared" si="2"/>
        <v>-0.16429599999537459</v>
      </c>
      <c r="L41">
        <f t="shared" si="6"/>
        <v>-0.16429599999537459</v>
      </c>
      <c r="O41">
        <f t="shared" ca="1" si="4"/>
        <v>-0.17892090528895099</v>
      </c>
      <c r="Q41" s="1">
        <f t="shared" si="5"/>
        <v>29835.033000000003</v>
      </c>
    </row>
    <row r="42" spans="1:17" x14ac:dyDescent="0.2">
      <c r="A42" s="51" t="s">
        <v>75</v>
      </c>
      <c r="B42" s="52" t="s">
        <v>42</v>
      </c>
      <c r="C42" s="51">
        <v>44967.370999999999</v>
      </c>
      <c r="E42">
        <f t="shared" si="0"/>
        <v>1910.9868562979718</v>
      </c>
      <c r="F42">
        <f t="shared" si="1"/>
        <v>1911</v>
      </c>
      <c r="G42">
        <f t="shared" si="2"/>
        <v>-3.8323000000673346E-2</v>
      </c>
      <c r="L42">
        <f t="shared" si="6"/>
        <v>-3.8323000000673346E-2</v>
      </c>
      <c r="O42">
        <f t="shared" ca="1" si="4"/>
        <v>-0.18223484675374194</v>
      </c>
      <c r="Q42" s="1">
        <f t="shared" si="5"/>
        <v>29948.870999999999</v>
      </c>
    </row>
    <row r="43" spans="1:17" x14ac:dyDescent="0.2">
      <c r="A43" s="51" t="s">
        <v>75</v>
      </c>
      <c r="B43" s="52" t="s">
        <v>42</v>
      </c>
      <c r="C43" s="51">
        <v>45229.508000000002</v>
      </c>
      <c r="E43">
        <f t="shared" si="0"/>
        <v>2000.8924121984053</v>
      </c>
      <c r="F43">
        <f t="shared" si="1"/>
        <v>2001</v>
      </c>
      <c r="G43">
        <f t="shared" si="2"/>
        <v>-0.31369299999641953</v>
      </c>
      <c r="L43">
        <f t="shared" si="6"/>
        <v>-0.31369299999641953</v>
      </c>
      <c r="O43">
        <f t="shared" ca="1" si="4"/>
        <v>-0.18988240398018263</v>
      </c>
      <c r="Q43" s="1">
        <f t="shared" si="5"/>
        <v>30211.008000000002</v>
      </c>
    </row>
    <row r="44" spans="1:17" x14ac:dyDescent="0.2">
      <c r="A44" s="51" t="s">
        <v>75</v>
      </c>
      <c r="B44" s="52" t="s">
        <v>42</v>
      </c>
      <c r="C44" s="51">
        <v>45238.542999999998</v>
      </c>
      <c r="E44">
        <f t="shared" si="0"/>
        <v>2003.9911609349822</v>
      </c>
      <c r="F44">
        <f t="shared" si="1"/>
        <v>2004</v>
      </c>
      <c r="G44">
        <f t="shared" si="2"/>
        <v>-2.5772000000870321E-2</v>
      </c>
      <c r="L44">
        <f t="shared" si="6"/>
        <v>-2.5772000000870321E-2</v>
      </c>
      <c r="O44">
        <f t="shared" ca="1" si="4"/>
        <v>-0.1901373225543973</v>
      </c>
      <c r="Q44" s="1">
        <f t="shared" si="5"/>
        <v>30220.042999999998</v>
      </c>
    </row>
    <row r="45" spans="1:17" x14ac:dyDescent="0.2">
      <c r="A45" s="51" t="s">
        <v>152</v>
      </c>
      <c r="B45" s="52" t="s">
        <v>42</v>
      </c>
      <c r="C45" s="51">
        <v>45681.525000000001</v>
      </c>
      <c r="E45">
        <f t="shared" si="0"/>
        <v>2155.9214224542861</v>
      </c>
      <c r="F45">
        <f t="shared" si="1"/>
        <v>2156</v>
      </c>
      <c r="G45">
        <f t="shared" si="2"/>
        <v>-0.22910799999226583</v>
      </c>
      <c r="L45">
        <f t="shared" si="6"/>
        <v>-0.22910799999226583</v>
      </c>
      <c r="O45">
        <f t="shared" ca="1" si="4"/>
        <v>-0.20305319698127491</v>
      </c>
      <c r="Q45" s="1">
        <f t="shared" si="5"/>
        <v>30663.025000000001</v>
      </c>
    </row>
    <row r="46" spans="1:17" x14ac:dyDescent="0.2">
      <c r="A46" s="51" t="s">
        <v>75</v>
      </c>
      <c r="B46" s="52" t="s">
        <v>42</v>
      </c>
      <c r="C46" s="51">
        <v>46002.44</v>
      </c>
      <c r="E46">
        <f t="shared" si="0"/>
        <v>2265.9861652101249</v>
      </c>
      <c r="F46">
        <f t="shared" si="1"/>
        <v>2266</v>
      </c>
      <c r="G46">
        <f t="shared" si="2"/>
        <v>-4.0337999991606921E-2</v>
      </c>
      <c r="L46">
        <f t="shared" si="6"/>
        <v>-4.0337999991606921E-2</v>
      </c>
      <c r="O46">
        <f t="shared" ca="1" si="4"/>
        <v>-0.21240021136914686</v>
      </c>
      <c r="Q46" s="1">
        <f t="shared" si="5"/>
        <v>30983.940000000002</v>
      </c>
    </row>
    <row r="47" spans="1:17" x14ac:dyDescent="0.2">
      <c r="A47" s="51" t="s">
        <v>159</v>
      </c>
      <c r="B47" s="52" t="s">
        <v>42</v>
      </c>
      <c r="C47" s="51">
        <v>46066.41</v>
      </c>
      <c r="E47">
        <f t="shared" si="0"/>
        <v>2287.9260608026998</v>
      </c>
      <c r="F47">
        <f t="shared" si="1"/>
        <v>2288</v>
      </c>
      <c r="G47">
        <f t="shared" si="2"/>
        <v>-0.21558399999048561</v>
      </c>
      <c r="L47">
        <f t="shared" si="6"/>
        <v>-0.21558399999048561</v>
      </c>
      <c r="O47">
        <f t="shared" ca="1" si="4"/>
        <v>-0.21426961424672122</v>
      </c>
      <c r="Q47" s="1">
        <f t="shared" si="5"/>
        <v>31047.910000000003</v>
      </c>
    </row>
    <row r="48" spans="1:17" x14ac:dyDescent="0.2">
      <c r="A48" s="51" t="s">
        <v>75</v>
      </c>
      <c r="B48" s="52" t="s">
        <v>42</v>
      </c>
      <c r="C48" s="51">
        <v>46110.273999999998</v>
      </c>
      <c r="E48">
        <f t="shared" si="0"/>
        <v>2302.9701686700214</v>
      </c>
      <c r="F48">
        <f t="shared" si="1"/>
        <v>2303</v>
      </c>
      <c r="G48">
        <f t="shared" si="2"/>
        <v>-8.6978999999701045E-2</v>
      </c>
      <c r="L48">
        <f t="shared" si="6"/>
        <v>-8.6978999999701045E-2</v>
      </c>
      <c r="O48">
        <f t="shared" ca="1" si="4"/>
        <v>-0.21554420711779468</v>
      </c>
      <c r="Q48" s="1">
        <f t="shared" si="5"/>
        <v>31091.773999999998</v>
      </c>
    </row>
    <row r="49" spans="1:17" x14ac:dyDescent="0.2">
      <c r="A49" s="51" t="s">
        <v>166</v>
      </c>
      <c r="B49" s="52" t="s">
        <v>42</v>
      </c>
      <c r="C49" s="51">
        <v>46136.389000000003</v>
      </c>
      <c r="E49">
        <f t="shared" si="0"/>
        <v>2311.9268729595351</v>
      </c>
      <c r="F49">
        <f t="shared" si="1"/>
        <v>2312</v>
      </c>
      <c r="G49">
        <f t="shared" si="2"/>
        <v>-0.21321599999646423</v>
      </c>
      <c r="L49">
        <f t="shared" si="6"/>
        <v>-0.21321599999646423</v>
      </c>
      <c r="O49">
        <f t="shared" ca="1" si="4"/>
        <v>-0.21630896284043874</v>
      </c>
      <c r="Q49" s="1">
        <f t="shared" si="5"/>
        <v>31117.889000000003</v>
      </c>
    </row>
    <row r="50" spans="1:17" x14ac:dyDescent="0.2">
      <c r="A50" s="51" t="s">
        <v>75</v>
      </c>
      <c r="B50" s="52" t="s">
        <v>42</v>
      </c>
      <c r="C50" s="51">
        <v>46713.548000000003</v>
      </c>
      <c r="E50">
        <f t="shared" si="0"/>
        <v>2509.8760397613896</v>
      </c>
      <c r="F50">
        <f t="shared" si="1"/>
        <v>2510</v>
      </c>
      <c r="G50">
        <f t="shared" si="2"/>
        <v>-0.36142999999719905</v>
      </c>
      <c r="L50">
        <f t="shared" si="6"/>
        <v>-0.36142999999719905</v>
      </c>
      <c r="O50">
        <f t="shared" ca="1" si="4"/>
        <v>-0.23313358873860823</v>
      </c>
      <c r="Q50" s="1">
        <f t="shared" si="5"/>
        <v>31695.048000000003</v>
      </c>
    </row>
    <row r="51" spans="1:17" x14ac:dyDescent="0.2">
      <c r="A51" s="51" t="s">
        <v>75</v>
      </c>
      <c r="B51" s="52" t="s">
        <v>42</v>
      </c>
      <c r="C51" s="51">
        <v>46763.396999999997</v>
      </c>
      <c r="E51">
        <f t="shared" si="0"/>
        <v>2526.9728328736942</v>
      </c>
      <c r="F51">
        <f t="shared" si="1"/>
        <v>2527</v>
      </c>
      <c r="G51">
        <f t="shared" si="2"/>
        <v>-7.921100000385195E-2</v>
      </c>
      <c r="L51">
        <f t="shared" si="6"/>
        <v>-7.921100000385195E-2</v>
      </c>
      <c r="O51">
        <f t="shared" ca="1" si="4"/>
        <v>-0.23457812732582481</v>
      </c>
      <c r="Q51" s="1">
        <f t="shared" si="5"/>
        <v>31744.896999999997</v>
      </c>
    </row>
    <row r="52" spans="1:17" x14ac:dyDescent="0.2">
      <c r="A52" s="51" t="s">
        <v>75</v>
      </c>
      <c r="B52" s="52" t="s">
        <v>42</v>
      </c>
      <c r="C52" s="51">
        <v>46827.256000000001</v>
      </c>
      <c r="E52">
        <f t="shared" si="0"/>
        <v>2548.8746586146085</v>
      </c>
      <c r="F52">
        <f t="shared" si="1"/>
        <v>2549</v>
      </c>
      <c r="G52">
        <f t="shared" si="2"/>
        <v>-0.36545699999987846</v>
      </c>
      <c r="L52">
        <f t="shared" si="6"/>
        <v>-0.36545699999987846</v>
      </c>
      <c r="O52">
        <f t="shared" ca="1" si="4"/>
        <v>-0.2364475302033992</v>
      </c>
      <c r="Q52" s="1">
        <f t="shared" si="5"/>
        <v>31808.756000000001</v>
      </c>
    </row>
    <row r="53" spans="1:17" x14ac:dyDescent="0.2">
      <c r="A53" s="51" t="s">
        <v>180</v>
      </c>
      <c r="B53" s="52" t="s">
        <v>42</v>
      </c>
      <c r="C53" s="51">
        <v>47063.559000000001</v>
      </c>
      <c r="E53">
        <f t="shared" ref="E53:E81" si="7">+(C53-C$7)/C$8</f>
        <v>2629.9198852554105</v>
      </c>
      <c r="F53">
        <f t="shared" ref="F53:F81" si="8">ROUND(2*E53,0)/2</f>
        <v>2630</v>
      </c>
      <c r="G53">
        <f t="shared" ref="G53:G81" si="9">+C53-(C$7+F53*C$8)</f>
        <v>-0.23358999999618391</v>
      </c>
      <c r="L53">
        <f t="shared" si="6"/>
        <v>-0.23358999999618391</v>
      </c>
      <c r="O53">
        <f t="shared" ref="O53:O81" ca="1" si="10">+C$11+C$12*$F53</f>
        <v>-0.24333033170719581</v>
      </c>
      <c r="Q53" s="1">
        <f t="shared" ref="Q53:Q81" si="11">+C53-15018.5</f>
        <v>32045.059000000001</v>
      </c>
    </row>
    <row r="54" spans="1:17" x14ac:dyDescent="0.2">
      <c r="A54" s="53" t="s">
        <v>34</v>
      </c>
      <c r="B54" s="53"/>
      <c r="C54" s="58">
        <v>47107.296000000002</v>
      </c>
      <c r="D54" s="58"/>
      <c r="E54">
        <f t="shared" si="7"/>
        <v>2644.9204357248877</v>
      </c>
      <c r="F54">
        <f t="shared" si="8"/>
        <v>2645</v>
      </c>
      <c r="G54">
        <f t="shared" si="9"/>
        <v>-0.23198499999125488</v>
      </c>
      <c r="K54">
        <f>+G54</f>
        <v>-0.23198499999125488</v>
      </c>
      <c r="O54">
        <f t="shared" ca="1" si="10"/>
        <v>-0.24460492457826927</v>
      </c>
      <c r="Q54" s="1">
        <f t="shared" si="11"/>
        <v>32088.796000000002</v>
      </c>
    </row>
    <row r="55" spans="1:17" x14ac:dyDescent="0.2">
      <c r="A55" s="51" t="s">
        <v>75</v>
      </c>
      <c r="B55" s="52" t="s">
        <v>42</v>
      </c>
      <c r="C55" s="51">
        <v>47174.34</v>
      </c>
      <c r="E55">
        <f t="shared" si="7"/>
        <v>2667.9146261283336</v>
      </c>
      <c r="F55">
        <f t="shared" si="8"/>
        <v>2668</v>
      </c>
      <c r="G55">
        <f t="shared" si="9"/>
        <v>-0.24892399999953341</v>
      </c>
      <c r="L55">
        <f>+G55</f>
        <v>-0.24892399999953341</v>
      </c>
      <c r="O55">
        <f t="shared" ca="1" si="10"/>
        <v>-0.24655930031391521</v>
      </c>
      <c r="Q55" s="1">
        <f t="shared" si="11"/>
        <v>32155.839999999997</v>
      </c>
    </row>
    <row r="56" spans="1:17" x14ac:dyDescent="0.2">
      <c r="A56" s="53" t="s">
        <v>35</v>
      </c>
      <c r="B56" s="53"/>
      <c r="C56" s="58">
        <v>47524.232000000004</v>
      </c>
      <c r="D56" s="58"/>
      <c r="E56">
        <f t="shared" si="7"/>
        <v>2787.9176579976033</v>
      </c>
      <c r="F56">
        <f t="shared" si="8"/>
        <v>2788</v>
      </c>
      <c r="G56">
        <f t="shared" si="9"/>
        <v>-0.24008399999001995</v>
      </c>
      <c r="K56">
        <f>+G56</f>
        <v>-0.24008399999001995</v>
      </c>
      <c r="O56">
        <f t="shared" ca="1" si="10"/>
        <v>-0.25675604328250279</v>
      </c>
      <c r="Q56" s="1">
        <f t="shared" si="11"/>
        <v>32505.732000000004</v>
      </c>
    </row>
    <row r="57" spans="1:17" x14ac:dyDescent="0.2">
      <c r="A57" s="51" t="s">
        <v>180</v>
      </c>
      <c r="B57" s="52" t="s">
        <v>42</v>
      </c>
      <c r="C57" s="51">
        <v>47827.432999999997</v>
      </c>
      <c r="E57">
        <f t="shared" si="7"/>
        <v>2891.9070011829094</v>
      </c>
      <c r="F57">
        <f t="shared" si="8"/>
        <v>2892</v>
      </c>
      <c r="G57">
        <f t="shared" si="9"/>
        <v>-0.27115600000252016</v>
      </c>
      <c r="L57">
        <f>+G57</f>
        <v>-0.27115600000252016</v>
      </c>
      <c r="O57">
        <f t="shared" ca="1" si="10"/>
        <v>-0.26559322052194534</v>
      </c>
      <c r="Q57" s="1">
        <f t="shared" si="11"/>
        <v>32808.932999999997</v>
      </c>
    </row>
    <row r="58" spans="1:17" x14ac:dyDescent="0.2">
      <c r="A58" s="51" t="s">
        <v>200</v>
      </c>
      <c r="B58" s="52" t="s">
        <v>42</v>
      </c>
      <c r="C58" s="51">
        <v>48153.987999999998</v>
      </c>
      <c r="E58">
        <f t="shared" si="7"/>
        <v>3003.9061039691082</v>
      </c>
      <c r="F58">
        <f t="shared" si="8"/>
        <v>3004</v>
      </c>
      <c r="G58">
        <f t="shared" si="9"/>
        <v>-0.27377200000046287</v>
      </c>
      <c r="L58">
        <f>+G58</f>
        <v>-0.27377200000046287</v>
      </c>
      <c r="O58">
        <f t="shared" ca="1" si="10"/>
        <v>-0.27511018062596038</v>
      </c>
      <c r="Q58" s="1">
        <f t="shared" si="11"/>
        <v>33135.487999999998</v>
      </c>
    </row>
    <row r="59" spans="1:17" x14ac:dyDescent="0.2">
      <c r="A59" s="51" t="s">
        <v>75</v>
      </c>
      <c r="B59" s="52" t="s">
        <v>42</v>
      </c>
      <c r="C59" s="51">
        <v>48273.385000000002</v>
      </c>
      <c r="E59">
        <f t="shared" si="7"/>
        <v>3044.8558884628819</v>
      </c>
      <c r="F59">
        <f t="shared" si="8"/>
        <v>3045</v>
      </c>
      <c r="G59">
        <f t="shared" si="9"/>
        <v>-0.42018499999539927</v>
      </c>
      <c r="L59">
        <f>+G59</f>
        <v>-0.42018499999539927</v>
      </c>
      <c r="O59">
        <f t="shared" ca="1" si="10"/>
        <v>-0.27859406780689444</v>
      </c>
      <c r="Q59" s="1">
        <f t="shared" si="11"/>
        <v>33254.885000000002</v>
      </c>
    </row>
    <row r="60" spans="1:17" x14ac:dyDescent="0.2">
      <c r="A60" s="53" t="s">
        <v>36</v>
      </c>
      <c r="B60" s="53">
        <v>3.0000000000000001E-3</v>
      </c>
      <c r="C60" s="58">
        <v>48512.584999999999</v>
      </c>
      <c r="D60" s="58"/>
      <c r="E60">
        <f t="shared" si="7"/>
        <v>3126.89470393488</v>
      </c>
      <c r="F60">
        <f t="shared" si="8"/>
        <v>3127</v>
      </c>
      <c r="G60">
        <f t="shared" si="9"/>
        <v>-0.30701099999714643</v>
      </c>
      <c r="K60">
        <f>+G60</f>
        <v>-0.30701099999714643</v>
      </c>
      <c r="O60">
        <f t="shared" ca="1" si="10"/>
        <v>-0.28556184216876268</v>
      </c>
      <c r="Q60" s="1">
        <f t="shared" si="11"/>
        <v>33494.084999999999</v>
      </c>
    </row>
    <row r="61" spans="1:17" x14ac:dyDescent="0.2">
      <c r="A61" s="53" t="s">
        <v>32</v>
      </c>
      <c r="B61" s="53"/>
      <c r="C61" s="58">
        <v>49005.338000000003</v>
      </c>
      <c r="D61" s="58">
        <v>2E-3</v>
      </c>
      <c r="E61">
        <f t="shared" si="7"/>
        <v>3295.8950067788364</v>
      </c>
      <c r="F61">
        <f t="shared" si="8"/>
        <v>3296</v>
      </c>
      <c r="G61">
        <f t="shared" si="9"/>
        <v>-0.30612799999653362</v>
      </c>
      <c r="I61">
        <f>+G61</f>
        <v>-0.30612799999653362</v>
      </c>
      <c r="O61">
        <f t="shared" ca="1" si="10"/>
        <v>-0.29992225518285687</v>
      </c>
      <c r="Q61" s="1">
        <f t="shared" si="11"/>
        <v>33986.838000000003</v>
      </c>
    </row>
    <row r="62" spans="1:17" x14ac:dyDescent="0.2">
      <c r="A62" s="53" t="s">
        <v>37</v>
      </c>
      <c r="B62" s="53">
        <v>6.0000000000000001E-3</v>
      </c>
      <c r="C62" s="58">
        <v>49005.343999999997</v>
      </c>
      <c r="D62" s="58"/>
      <c r="E62">
        <f t="shared" si="7"/>
        <v>3295.8970646086541</v>
      </c>
      <c r="F62">
        <f t="shared" si="8"/>
        <v>3296</v>
      </c>
      <c r="G62">
        <f t="shared" si="9"/>
        <v>-0.30012800000258721</v>
      </c>
      <c r="K62">
        <f>+G62</f>
        <v>-0.30012800000258721</v>
      </c>
      <c r="O62">
        <f t="shared" ca="1" si="10"/>
        <v>-0.29992225518285687</v>
      </c>
      <c r="Q62" s="1">
        <f t="shared" si="11"/>
        <v>33986.843999999997</v>
      </c>
    </row>
    <row r="63" spans="1:17" x14ac:dyDescent="0.2">
      <c r="A63" s="53" t="s">
        <v>38</v>
      </c>
      <c r="B63" s="53">
        <v>4.0000000000000001E-3</v>
      </c>
      <c r="C63" s="58">
        <v>49311.463000000003</v>
      </c>
      <c r="D63" s="58"/>
      <c r="E63">
        <f t="shared" si="7"/>
        <v>3400.8871990295297</v>
      </c>
      <c r="F63">
        <f t="shared" si="8"/>
        <v>3401</v>
      </c>
      <c r="G63">
        <f t="shared" si="9"/>
        <v>-0.32889299999806099</v>
      </c>
      <c r="K63">
        <f>+G63</f>
        <v>-0.32889299999806099</v>
      </c>
      <c r="O63">
        <f t="shared" ca="1" si="10"/>
        <v>-0.30884440528037094</v>
      </c>
      <c r="Q63" s="1">
        <f t="shared" si="11"/>
        <v>34292.963000000003</v>
      </c>
    </row>
    <row r="64" spans="1:17" s="66" customFormat="1" ht="12" customHeight="1" x14ac:dyDescent="0.2">
      <c r="A64" s="64" t="s">
        <v>39</v>
      </c>
      <c r="B64" s="64"/>
      <c r="C64" s="65">
        <v>49384.358999999997</v>
      </c>
      <c r="D64" s="65"/>
      <c r="E64" s="66">
        <f t="shared" si="7"/>
        <v>3425.888459450292</v>
      </c>
      <c r="F64" s="66">
        <f t="shared" si="8"/>
        <v>3426</v>
      </c>
      <c r="G64" s="66">
        <f t="shared" si="9"/>
        <v>-0.32521799999813084</v>
      </c>
      <c r="K64" s="66">
        <f>+G64</f>
        <v>-0.32521799999813084</v>
      </c>
      <c r="O64" s="66">
        <f t="shared" ca="1" si="10"/>
        <v>-0.31096872673216003</v>
      </c>
      <c r="Q64" s="67">
        <f t="shared" si="11"/>
        <v>34365.858999999997</v>
      </c>
    </row>
    <row r="65" spans="1:17" s="66" customFormat="1" ht="12" customHeight="1" x14ac:dyDescent="0.2">
      <c r="A65" s="64" t="s">
        <v>40</v>
      </c>
      <c r="B65" s="64">
        <v>6.0000000000000001E-3</v>
      </c>
      <c r="C65" s="65">
        <v>50422.324000000001</v>
      </c>
      <c r="D65" s="65"/>
      <c r="E65" s="66">
        <f t="shared" si="7"/>
        <v>3781.8810142220059</v>
      </c>
      <c r="F65" s="66">
        <f t="shared" si="8"/>
        <v>3782</v>
      </c>
      <c r="G65" s="66">
        <f t="shared" si="9"/>
        <v>-0.34692599999834783</v>
      </c>
      <c r="K65" s="66">
        <f>+G65</f>
        <v>-0.34692599999834783</v>
      </c>
      <c r="O65" s="66">
        <f t="shared" ca="1" si="10"/>
        <v>-0.34121906420563652</v>
      </c>
      <c r="Q65" s="67">
        <f t="shared" si="11"/>
        <v>35403.824000000001</v>
      </c>
    </row>
    <row r="66" spans="1:17" s="66" customFormat="1" ht="12" customHeight="1" x14ac:dyDescent="0.2">
      <c r="A66" s="64" t="s">
        <v>33</v>
      </c>
      <c r="B66" s="64"/>
      <c r="C66" s="65">
        <v>50897.542800000003</v>
      </c>
      <c r="D66" s="65"/>
      <c r="E66" s="66">
        <f t="shared" si="7"/>
        <v>3944.8675837956898</v>
      </c>
      <c r="F66" s="66">
        <f t="shared" si="8"/>
        <v>3945</v>
      </c>
      <c r="G66" s="66">
        <f t="shared" si="9"/>
        <v>-0.38608499999827472</v>
      </c>
      <c r="J66" s="66">
        <f>+G66</f>
        <v>-0.38608499999827472</v>
      </c>
      <c r="O66" s="66">
        <f t="shared" ca="1" si="10"/>
        <v>-0.35506964007130126</v>
      </c>
      <c r="Q66" s="67">
        <f t="shared" si="11"/>
        <v>35879.042800000003</v>
      </c>
    </row>
    <row r="67" spans="1:17" s="66" customFormat="1" ht="12" customHeight="1" x14ac:dyDescent="0.2">
      <c r="A67" s="64" t="s">
        <v>33</v>
      </c>
      <c r="B67" s="64"/>
      <c r="C67" s="65">
        <v>50897.542800000003</v>
      </c>
      <c r="D67" s="65"/>
      <c r="E67" s="66">
        <f t="shared" si="7"/>
        <v>3944.8675837956898</v>
      </c>
      <c r="F67" s="66">
        <f t="shared" si="8"/>
        <v>3945</v>
      </c>
      <c r="G67" s="66">
        <f t="shared" si="9"/>
        <v>-0.38608499999827472</v>
      </c>
      <c r="J67" s="66">
        <f>+G67</f>
        <v>-0.38608499999827472</v>
      </c>
      <c r="O67" s="66">
        <f t="shared" ca="1" si="10"/>
        <v>-0.35506964007130126</v>
      </c>
      <c r="Q67" s="67">
        <f t="shared" si="11"/>
        <v>35879.042800000003</v>
      </c>
    </row>
    <row r="68" spans="1:17" s="66" customFormat="1" ht="12" customHeight="1" x14ac:dyDescent="0.2">
      <c r="A68" s="64" t="s">
        <v>33</v>
      </c>
      <c r="B68" s="64"/>
      <c r="C68" s="65">
        <v>50897.542800000003</v>
      </c>
      <c r="D68" s="65"/>
      <c r="E68" s="66">
        <f t="shared" si="7"/>
        <v>3944.8675837956898</v>
      </c>
      <c r="F68" s="66">
        <f t="shared" si="8"/>
        <v>3945</v>
      </c>
      <c r="G68" s="66">
        <f t="shared" si="9"/>
        <v>-0.38608499999827472</v>
      </c>
      <c r="J68" s="66">
        <f>+G68</f>
        <v>-0.38608499999827472</v>
      </c>
      <c r="O68" s="66">
        <f t="shared" ca="1" si="10"/>
        <v>-0.35506964007130126</v>
      </c>
      <c r="Q68" s="67">
        <f t="shared" si="11"/>
        <v>35879.042800000003</v>
      </c>
    </row>
    <row r="69" spans="1:17" s="66" customFormat="1" ht="12" customHeight="1" x14ac:dyDescent="0.2">
      <c r="A69" s="68" t="s">
        <v>33</v>
      </c>
      <c r="B69" s="68"/>
      <c r="C69" s="69">
        <v>50897.542800000003</v>
      </c>
      <c r="D69" s="69"/>
      <c r="E69" s="66">
        <f t="shared" si="7"/>
        <v>3944.8675837956898</v>
      </c>
      <c r="F69" s="66">
        <f t="shared" si="8"/>
        <v>3945</v>
      </c>
      <c r="G69" s="66">
        <f t="shared" si="9"/>
        <v>-0.38608499999827472</v>
      </c>
      <c r="J69" s="66">
        <f>+G69</f>
        <v>-0.38608499999827472</v>
      </c>
      <c r="O69" s="66">
        <f t="shared" ca="1" si="10"/>
        <v>-0.35506964007130126</v>
      </c>
      <c r="Q69" s="67">
        <f t="shared" si="11"/>
        <v>35879.042800000003</v>
      </c>
    </row>
    <row r="70" spans="1:17" s="66" customFormat="1" ht="12" customHeight="1" x14ac:dyDescent="0.2">
      <c r="A70" s="51" t="s">
        <v>236</v>
      </c>
      <c r="B70" s="52" t="s">
        <v>42</v>
      </c>
      <c r="C70" s="51">
        <v>50897.542999999998</v>
      </c>
      <c r="E70" s="66">
        <f t="shared" si="7"/>
        <v>3944.8676523900153</v>
      </c>
      <c r="F70" s="66">
        <f t="shared" si="8"/>
        <v>3945</v>
      </c>
      <c r="G70" s="66">
        <f t="shared" si="9"/>
        <v>-0.38588500000332715</v>
      </c>
      <c r="L70" s="66">
        <f>+G70</f>
        <v>-0.38588500000332715</v>
      </c>
      <c r="O70" s="66">
        <f t="shared" ca="1" si="10"/>
        <v>-0.35506964007130126</v>
      </c>
      <c r="Q70" s="67">
        <f t="shared" si="11"/>
        <v>35879.042999999998</v>
      </c>
    </row>
    <row r="71" spans="1:17" s="66" customFormat="1" ht="12" customHeight="1" x14ac:dyDescent="0.2">
      <c r="A71" s="51" t="s">
        <v>236</v>
      </c>
      <c r="B71" s="52" t="s">
        <v>42</v>
      </c>
      <c r="C71" s="51">
        <v>51136.63</v>
      </c>
      <c r="E71" s="66">
        <f t="shared" si="7"/>
        <v>4026.86771206708</v>
      </c>
      <c r="F71" s="66">
        <f t="shared" si="8"/>
        <v>4027</v>
      </c>
      <c r="G71" s="66">
        <f t="shared" si="9"/>
        <v>-0.38571100000262959</v>
      </c>
      <c r="L71" s="66">
        <f>+G71</f>
        <v>-0.38571100000262959</v>
      </c>
      <c r="O71" s="66">
        <f t="shared" ca="1" si="10"/>
        <v>-0.36203741443316939</v>
      </c>
      <c r="Q71" s="67">
        <f t="shared" si="11"/>
        <v>36118.129999999997</v>
      </c>
    </row>
    <row r="72" spans="1:17" s="66" customFormat="1" ht="12" customHeight="1" x14ac:dyDescent="0.2">
      <c r="A72" s="51" t="s">
        <v>236</v>
      </c>
      <c r="B72" s="52" t="s">
        <v>42</v>
      </c>
      <c r="C72" s="51">
        <v>51139.548000000003</v>
      </c>
      <c r="E72" s="66">
        <f t="shared" si="7"/>
        <v>4027.8685033026472</v>
      </c>
      <c r="F72" s="66">
        <f t="shared" si="8"/>
        <v>4028</v>
      </c>
      <c r="G72" s="66">
        <f t="shared" si="9"/>
        <v>-0.38340399999287911</v>
      </c>
      <c r="L72" s="66">
        <f>+G72</f>
        <v>-0.38340399999287911</v>
      </c>
      <c r="O72" s="66">
        <f t="shared" ca="1" si="10"/>
        <v>-0.36212238729124102</v>
      </c>
      <c r="Q72" s="67">
        <f t="shared" si="11"/>
        <v>36121.048000000003</v>
      </c>
    </row>
    <row r="73" spans="1:17" s="66" customFormat="1" ht="12" customHeight="1" x14ac:dyDescent="0.2">
      <c r="A73" s="51" t="s">
        <v>236</v>
      </c>
      <c r="B73" s="52" t="s">
        <v>42</v>
      </c>
      <c r="C73" s="51">
        <v>51486.538999999997</v>
      </c>
      <c r="E73" s="66">
        <f t="shared" si="7"/>
        <v>4146.8765744541688</v>
      </c>
      <c r="F73" s="66">
        <f t="shared" si="8"/>
        <v>4147</v>
      </c>
      <c r="G73" s="66">
        <f t="shared" si="9"/>
        <v>-0.35987100000056671</v>
      </c>
      <c r="L73" s="66">
        <f>+G73</f>
        <v>-0.35987100000056671</v>
      </c>
      <c r="O73" s="66">
        <f t="shared" ca="1" si="10"/>
        <v>-0.37223415740175703</v>
      </c>
      <c r="Q73" s="67">
        <f t="shared" si="11"/>
        <v>36468.038999999997</v>
      </c>
    </row>
    <row r="74" spans="1:17" s="66" customFormat="1" ht="12" customHeight="1" x14ac:dyDescent="0.2">
      <c r="A74" s="51" t="s">
        <v>236</v>
      </c>
      <c r="B74" s="52" t="s">
        <v>42</v>
      </c>
      <c r="C74" s="51">
        <v>51521.536</v>
      </c>
      <c r="E74" s="66">
        <f t="shared" si="7"/>
        <v>4158.8795528198625</v>
      </c>
      <c r="F74" s="66">
        <f t="shared" si="8"/>
        <v>4159</v>
      </c>
      <c r="G74" s="66">
        <f t="shared" si="9"/>
        <v>-0.35118700000020908</v>
      </c>
      <c r="L74" s="66">
        <f>+G74</f>
        <v>-0.35118700000020908</v>
      </c>
      <c r="O74" s="66">
        <f t="shared" ca="1" si="10"/>
        <v>-0.37325383169861581</v>
      </c>
      <c r="Q74" s="67">
        <f t="shared" si="11"/>
        <v>36503.036</v>
      </c>
    </row>
    <row r="75" spans="1:17" s="66" customFormat="1" ht="12" customHeight="1" x14ac:dyDescent="0.2">
      <c r="A75" s="68" t="s">
        <v>33</v>
      </c>
      <c r="B75" s="68"/>
      <c r="C75" s="69">
        <v>51521.536399999997</v>
      </c>
      <c r="D75" s="69"/>
      <c r="E75" s="66">
        <f t="shared" si="7"/>
        <v>4158.8796900085163</v>
      </c>
      <c r="F75" s="66">
        <f t="shared" si="8"/>
        <v>4159</v>
      </c>
      <c r="G75" s="66">
        <f t="shared" si="9"/>
        <v>-0.35078700000303797</v>
      </c>
      <c r="J75" s="66">
        <f>+G75</f>
        <v>-0.35078700000303797</v>
      </c>
      <c r="O75" s="66">
        <f t="shared" ca="1" si="10"/>
        <v>-0.37325383169861581</v>
      </c>
      <c r="Q75" s="67">
        <f t="shared" si="11"/>
        <v>36503.036399999997</v>
      </c>
    </row>
    <row r="76" spans="1:17" s="66" customFormat="1" ht="12" customHeight="1" x14ac:dyDescent="0.2">
      <c r="A76" s="51" t="s">
        <v>252</v>
      </c>
      <c r="B76" s="52" t="s">
        <v>42</v>
      </c>
      <c r="C76" s="51">
        <v>52323.300199999998</v>
      </c>
      <c r="E76" s="66">
        <f t="shared" si="7"/>
        <v>4433.861932652032</v>
      </c>
      <c r="F76" s="66">
        <f t="shared" si="8"/>
        <v>4434</v>
      </c>
      <c r="G76" s="66">
        <f t="shared" si="9"/>
        <v>-0.40256200000294484</v>
      </c>
      <c r="L76" s="66">
        <f>+G76</f>
        <v>-0.40256200000294484</v>
      </c>
      <c r="O76" s="66">
        <f t="shared" ca="1" si="10"/>
        <v>-0.39662136766829559</v>
      </c>
      <c r="Q76" s="67">
        <f t="shared" si="11"/>
        <v>37304.800199999998</v>
      </c>
    </row>
    <row r="77" spans="1:17" s="66" customFormat="1" ht="12" customHeight="1" x14ac:dyDescent="0.2">
      <c r="A77" s="70" t="s">
        <v>41</v>
      </c>
      <c r="B77" s="71" t="s">
        <v>42</v>
      </c>
      <c r="C77" s="72">
        <v>53335.0314</v>
      </c>
      <c r="D77" s="73">
        <v>8.0000000000000004E-4</v>
      </c>
      <c r="E77" s="66">
        <f t="shared" si="7"/>
        <v>4780.8570381038071</v>
      </c>
      <c r="F77" s="66">
        <f t="shared" si="8"/>
        <v>4781</v>
      </c>
      <c r="G77" s="66">
        <f t="shared" si="9"/>
        <v>-0.4168329999956768</v>
      </c>
      <c r="I77" s="66">
        <f>+G77</f>
        <v>-0.4168329999956768</v>
      </c>
      <c r="O77" s="66">
        <f t="shared" ca="1" si="10"/>
        <v>-0.42610694941912797</v>
      </c>
      <c r="Q77" s="67">
        <f t="shared" si="11"/>
        <v>38316.5314</v>
      </c>
    </row>
    <row r="78" spans="1:17" s="66" customFormat="1" ht="12" customHeight="1" x14ac:dyDescent="0.2">
      <c r="A78" s="51" t="s">
        <v>264</v>
      </c>
      <c r="B78" s="52" t="s">
        <v>42</v>
      </c>
      <c r="C78" s="51">
        <v>54390.465100000001</v>
      </c>
      <c r="E78" s="66">
        <f t="shared" si="7"/>
        <v>5142.840861503596</v>
      </c>
      <c r="F78" s="66">
        <f t="shared" si="8"/>
        <v>5143</v>
      </c>
      <c r="G78" s="66">
        <f t="shared" si="9"/>
        <v>-0.46399899999960326</v>
      </c>
      <c r="L78" s="66">
        <f>+G78</f>
        <v>-0.46399899999960326</v>
      </c>
      <c r="O78" s="66">
        <f t="shared" ca="1" si="10"/>
        <v>-0.4568671240410338</v>
      </c>
      <c r="Q78" s="67">
        <f t="shared" si="11"/>
        <v>39371.965100000001</v>
      </c>
    </row>
    <row r="79" spans="1:17" s="66" customFormat="1" ht="12" customHeight="1" x14ac:dyDescent="0.2">
      <c r="A79" s="73" t="s">
        <v>53</v>
      </c>
      <c r="B79" s="74" t="s">
        <v>42</v>
      </c>
      <c r="C79" s="73">
        <v>54833.626199999999</v>
      </c>
      <c r="D79" s="73">
        <v>4.0000000000000002E-4</v>
      </c>
      <c r="E79" s="66">
        <f t="shared" si="7"/>
        <v>5294.8325492430104</v>
      </c>
      <c r="F79" s="66">
        <f t="shared" si="8"/>
        <v>5295</v>
      </c>
      <c r="G79" s="66">
        <f t="shared" si="9"/>
        <v>-0.48823499999707565</v>
      </c>
      <c r="I79" s="66">
        <f>+G79</f>
        <v>-0.48823499999707565</v>
      </c>
      <c r="O79" s="66">
        <f t="shared" ca="1" si="10"/>
        <v>-0.46978299846791149</v>
      </c>
      <c r="Q79" s="67">
        <f t="shared" si="11"/>
        <v>39815.126199999999</v>
      </c>
    </row>
    <row r="80" spans="1:17" s="66" customFormat="1" ht="12" customHeight="1" x14ac:dyDescent="0.2">
      <c r="A80" s="75" t="s">
        <v>56</v>
      </c>
      <c r="B80" s="74" t="s">
        <v>42</v>
      </c>
      <c r="C80" s="73">
        <v>55480.869599999998</v>
      </c>
      <c r="D80" s="73">
        <v>8.9999999999999998E-4</v>
      </c>
      <c r="E80" s="66">
        <f t="shared" si="7"/>
        <v>5516.8186774121968</v>
      </c>
      <c r="F80" s="66">
        <f t="shared" si="8"/>
        <v>5517</v>
      </c>
      <c r="G80" s="66">
        <f t="shared" si="9"/>
        <v>-0.52868100000341656</v>
      </c>
      <c r="I80" s="66">
        <f>+G80</f>
        <v>-0.52868100000341656</v>
      </c>
      <c r="O80" s="66">
        <f t="shared" ca="1" si="10"/>
        <v>-0.48864697295979842</v>
      </c>
      <c r="Q80" s="67">
        <f t="shared" si="11"/>
        <v>40462.369599999998</v>
      </c>
    </row>
    <row r="81" spans="1:17" s="66" customFormat="1" ht="12" customHeight="1" x14ac:dyDescent="0.2">
      <c r="A81" s="35" t="s">
        <v>57</v>
      </c>
      <c r="B81" s="36" t="s">
        <v>42</v>
      </c>
      <c r="C81" s="35">
        <v>56588.7932</v>
      </c>
      <c r="D81" s="35">
        <v>8.9999999999999998E-4</v>
      </c>
      <c r="E81" s="66">
        <f t="shared" si="7"/>
        <v>5896.8050477193592</v>
      </c>
      <c r="F81" s="66">
        <f t="shared" si="8"/>
        <v>5897</v>
      </c>
      <c r="G81" s="66">
        <f t="shared" si="9"/>
        <v>-0.56842099999630591</v>
      </c>
      <c r="I81" s="66">
        <f>+G81</f>
        <v>-0.56842099999630591</v>
      </c>
      <c r="O81" s="66">
        <f t="shared" ca="1" si="10"/>
        <v>-0.52093665902699238</v>
      </c>
      <c r="Q81" s="67">
        <f t="shared" si="11"/>
        <v>41570.2932</v>
      </c>
    </row>
    <row r="82" spans="1:17" s="66" customFormat="1" ht="12" customHeight="1" x14ac:dyDescent="0.2">
      <c r="A82" s="62" t="s">
        <v>280</v>
      </c>
      <c r="B82" s="63" t="s">
        <v>42</v>
      </c>
      <c r="C82" s="76">
        <v>59874.639199999998</v>
      </c>
      <c r="D82" s="77">
        <v>5.9999999999999995E-4</v>
      </c>
      <c r="E82" s="66">
        <f t="shared" ref="E82" si="12">+(C82-C$7)/C$8</f>
        <v>7023.7570279175479</v>
      </c>
      <c r="F82" s="66">
        <f t="shared" ref="F82" si="13">ROUND(2*E82,0)/2</f>
        <v>7024</v>
      </c>
      <c r="G82" s="66">
        <f t="shared" ref="G82" si="14">+C82-(C$7+F82*C$8)</f>
        <v>-0.70843199999944773</v>
      </c>
      <c r="I82" s="66">
        <f>+G82</f>
        <v>-0.70843199999944773</v>
      </c>
      <c r="O82" s="66">
        <f t="shared" ref="O82" ca="1" si="15">+C$11+C$12*$F82</f>
        <v>-0.61670107007364394</v>
      </c>
      <c r="Q82" s="67">
        <f t="shared" ref="Q82" si="16">+C82-15018.5</f>
        <v>44856.139199999998</v>
      </c>
    </row>
    <row r="83" spans="1:17" s="66" customFormat="1" ht="12" customHeight="1" x14ac:dyDescent="0.2">
      <c r="B83" s="78"/>
    </row>
    <row r="84" spans="1:17" s="66" customFormat="1" ht="12" customHeight="1" x14ac:dyDescent="0.2">
      <c r="B84" s="78"/>
    </row>
    <row r="85" spans="1:17" s="66" customFormat="1" ht="12" customHeight="1" x14ac:dyDescent="0.2">
      <c r="B85" s="78"/>
    </row>
    <row r="86" spans="1:17" s="66" customFormat="1" ht="12" customHeight="1" x14ac:dyDescent="0.2">
      <c r="B86" s="78"/>
    </row>
    <row r="87" spans="1:17" s="66" customFormat="1" ht="12" customHeight="1" x14ac:dyDescent="0.2">
      <c r="B87" s="78"/>
    </row>
    <row r="88" spans="1:17" s="66" customFormat="1" ht="12" customHeight="1" x14ac:dyDescent="0.2">
      <c r="B88" s="78"/>
    </row>
    <row r="89" spans="1:17" s="66" customFormat="1" ht="12" customHeight="1" x14ac:dyDescent="0.2">
      <c r="B89" s="78"/>
    </row>
    <row r="90" spans="1:17" s="66" customFormat="1" ht="12" customHeight="1" x14ac:dyDescent="0.2">
      <c r="B90" s="78"/>
    </row>
    <row r="91" spans="1:17" s="66" customFormat="1" ht="12" customHeight="1" x14ac:dyDescent="0.2">
      <c r="B91" s="78"/>
    </row>
    <row r="92" spans="1:17" x14ac:dyDescent="0.2">
      <c r="B92" s="2"/>
    </row>
    <row r="93" spans="1:17" x14ac:dyDescent="0.2">
      <c r="B93" s="2"/>
    </row>
    <row r="94" spans="1:17" x14ac:dyDescent="0.2">
      <c r="B94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3"/>
  <sheetViews>
    <sheetView topLeftCell="A18" workbookViewId="0">
      <selection activeCell="A23" sqref="A23:C65"/>
    </sheetView>
  </sheetViews>
  <sheetFormatPr defaultRowHeight="12.75" x14ac:dyDescent="0.2"/>
  <cols>
    <col min="1" max="1" width="19.7109375" style="38" customWidth="1"/>
    <col min="2" max="2" width="4.42578125" style="17" customWidth="1"/>
    <col min="3" max="3" width="12.7109375" style="38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38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37" t="s">
        <v>58</v>
      </c>
      <c r="I1" s="39" t="s">
        <v>59</v>
      </c>
      <c r="J1" s="40" t="s">
        <v>60</v>
      </c>
    </row>
    <row r="2" spans="1:16" x14ac:dyDescent="0.2">
      <c r="I2" s="41" t="s">
        <v>61</v>
      </c>
      <c r="J2" s="42" t="s">
        <v>62</v>
      </c>
    </row>
    <row r="3" spans="1:16" x14ac:dyDescent="0.2">
      <c r="A3" s="43" t="s">
        <v>63</v>
      </c>
      <c r="I3" s="41" t="s">
        <v>64</v>
      </c>
      <c r="J3" s="42" t="s">
        <v>65</v>
      </c>
    </row>
    <row r="4" spans="1:16" x14ac:dyDescent="0.2">
      <c r="I4" s="41" t="s">
        <v>66</v>
      </c>
      <c r="J4" s="42" t="s">
        <v>65</v>
      </c>
    </row>
    <row r="5" spans="1:16" ht="13.5" thickBot="1" x14ac:dyDescent="0.25">
      <c r="I5" s="44" t="s">
        <v>67</v>
      </c>
      <c r="J5" s="45" t="s">
        <v>68</v>
      </c>
    </row>
    <row r="10" spans="1:16" ht="13.5" thickBot="1" x14ac:dyDescent="0.25"/>
    <row r="11" spans="1:16" ht="12.75" customHeight="1" thickBot="1" x14ac:dyDescent="0.25">
      <c r="A11" s="38" t="str">
        <f t="shared" ref="A11:A42" si="0">P11</f>
        <v> BBS 86 </v>
      </c>
      <c r="B11" s="2" t="str">
        <f t="shared" ref="B11:B42" si="1">IF(H11=INT(H11),"I","II")</f>
        <v>I</v>
      </c>
      <c r="C11" s="38">
        <f t="shared" ref="C11:C42" si="2">1*G11</f>
        <v>47107.296000000002</v>
      </c>
      <c r="D11" s="17" t="str">
        <f t="shared" ref="D11:D42" si="3">VLOOKUP(F11,I$1:J$5,2,FALSE)</f>
        <v>vis</v>
      </c>
      <c r="E11" s="46">
        <f>VLOOKUP(C11,Active!C$21:E$973,3,FALSE)</f>
        <v>2644.9204357248877</v>
      </c>
      <c r="F11" s="2" t="s">
        <v>67</v>
      </c>
      <c r="G11" s="17" t="str">
        <f t="shared" ref="G11:G42" si="4">MID(I11,3,LEN(I11)-3)</f>
        <v>47107.296</v>
      </c>
      <c r="H11" s="38">
        <f t="shared" ref="H11:H42" si="5">1*K11</f>
        <v>2645</v>
      </c>
      <c r="I11" s="47" t="s">
        <v>181</v>
      </c>
      <c r="J11" s="48" t="s">
        <v>182</v>
      </c>
      <c r="K11" s="47">
        <v>2645</v>
      </c>
      <c r="L11" s="47" t="s">
        <v>183</v>
      </c>
      <c r="M11" s="48" t="s">
        <v>150</v>
      </c>
      <c r="N11" s="48"/>
      <c r="O11" s="49" t="s">
        <v>184</v>
      </c>
      <c r="P11" s="49" t="s">
        <v>185</v>
      </c>
    </row>
    <row r="12" spans="1:16" ht="12.75" customHeight="1" thickBot="1" x14ac:dyDescent="0.25">
      <c r="A12" s="38" t="str">
        <f t="shared" si="0"/>
        <v> BBS 90 </v>
      </c>
      <c r="B12" s="2" t="str">
        <f t="shared" si="1"/>
        <v>I</v>
      </c>
      <c r="C12" s="38">
        <f t="shared" si="2"/>
        <v>47524.232000000004</v>
      </c>
      <c r="D12" s="17" t="str">
        <f t="shared" si="3"/>
        <v>vis</v>
      </c>
      <c r="E12" s="46">
        <f>VLOOKUP(C12,Active!C$21:E$973,3,FALSE)</f>
        <v>2787.9176579976033</v>
      </c>
      <c r="F12" s="2" t="s">
        <v>67</v>
      </c>
      <c r="G12" s="17" t="str">
        <f t="shared" si="4"/>
        <v>47524.232</v>
      </c>
      <c r="H12" s="38">
        <f t="shared" si="5"/>
        <v>2788</v>
      </c>
      <c r="I12" s="47" t="s">
        <v>189</v>
      </c>
      <c r="J12" s="48" t="s">
        <v>190</v>
      </c>
      <c r="K12" s="47">
        <v>2788</v>
      </c>
      <c r="L12" s="47" t="s">
        <v>191</v>
      </c>
      <c r="M12" s="48" t="s">
        <v>150</v>
      </c>
      <c r="N12" s="48"/>
      <c r="O12" s="49" t="s">
        <v>184</v>
      </c>
      <c r="P12" s="49" t="s">
        <v>192</v>
      </c>
    </row>
    <row r="13" spans="1:16" ht="12.75" customHeight="1" thickBot="1" x14ac:dyDescent="0.25">
      <c r="A13" s="38" t="str">
        <f t="shared" si="0"/>
        <v> BBS 99 </v>
      </c>
      <c r="B13" s="2" t="str">
        <f t="shared" si="1"/>
        <v>I</v>
      </c>
      <c r="C13" s="38">
        <f t="shared" si="2"/>
        <v>48512.584999999999</v>
      </c>
      <c r="D13" s="17" t="str">
        <f t="shared" si="3"/>
        <v>vis</v>
      </c>
      <c r="E13" s="46">
        <f>VLOOKUP(C13,Active!C$21:E$973,3,FALSE)</f>
        <v>3126.89470393488</v>
      </c>
      <c r="F13" s="2" t="s">
        <v>67</v>
      </c>
      <c r="G13" s="17" t="str">
        <f t="shared" si="4"/>
        <v>48512.585</v>
      </c>
      <c r="H13" s="38">
        <f t="shared" si="5"/>
        <v>3127</v>
      </c>
      <c r="I13" s="47" t="s">
        <v>204</v>
      </c>
      <c r="J13" s="48" t="s">
        <v>205</v>
      </c>
      <c r="K13" s="47">
        <v>3127</v>
      </c>
      <c r="L13" s="47" t="s">
        <v>206</v>
      </c>
      <c r="M13" s="48" t="s">
        <v>150</v>
      </c>
      <c r="N13" s="48"/>
      <c r="O13" s="49" t="s">
        <v>207</v>
      </c>
      <c r="P13" s="49" t="s">
        <v>208</v>
      </c>
    </row>
    <row r="14" spans="1:16" ht="12.75" customHeight="1" thickBot="1" x14ac:dyDescent="0.25">
      <c r="A14" s="38" t="str">
        <f t="shared" si="0"/>
        <v>IBVS 3877 </v>
      </c>
      <c r="B14" s="2" t="str">
        <f t="shared" si="1"/>
        <v>I</v>
      </c>
      <c r="C14" s="38">
        <f t="shared" si="2"/>
        <v>49005.338000000003</v>
      </c>
      <c r="D14" s="17" t="str">
        <f t="shared" si="3"/>
        <v>vis</v>
      </c>
      <c r="E14" s="46">
        <f>VLOOKUP(C14,Active!C$21:E$973,3,FALSE)</f>
        <v>3295.8950067788364</v>
      </c>
      <c r="F14" s="2" t="s">
        <v>67</v>
      </c>
      <c r="G14" s="17" t="str">
        <f t="shared" si="4"/>
        <v>49005.338</v>
      </c>
      <c r="H14" s="38">
        <f t="shared" si="5"/>
        <v>3296</v>
      </c>
      <c r="I14" s="47" t="s">
        <v>209</v>
      </c>
      <c r="J14" s="48" t="s">
        <v>210</v>
      </c>
      <c r="K14" s="47">
        <v>3296</v>
      </c>
      <c r="L14" s="47" t="s">
        <v>211</v>
      </c>
      <c r="M14" s="48" t="s">
        <v>212</v>
      </c>
      <c r="N14" s="48" t="s">
        <v>213</v>
      </c>
      <c r="O14" s="49" t="s">
        <v>179</v>
      </c>
      <c r="P14" s="50" t="s">
        <v>214</v>
      </c>
    </row>
    <row r="15" spans="1:16" ht="12.75" customHeight="1" thickBot="1" x14ac:dyDescent="0.25">
      <c r="A15" s="38" t="str">
        <f t="shared" si="0"/>
        <v> BBS 103 </v>
      </c>
      <c r="B15" s="2" t="str">
        <f t="shared" si="1"/>
        <v>I</v>
      </c>
      <c r="C15" s="38">
        <f t="shared" si="2"/>
        <v>49005.343999999997</v>
      </c>
      <c r="D15" s="17" t="str">
        <f t="shared" si="3"/>
        <v>vis</v>
      </c>
      <c r="E15" s="46">
        <f>VLOOKUP(C15,Active!C$21:E$973,3,FALSE)</f>
        <v>3295.8970646086541</v>
      </c>
      <c r="F15" s="2" t="s">
        <v>67</v>
      </c>
      <c r="G15" s="17" t="str">
        <f t="shared" si="4"/>
        <v>49005.344</v>
      </c>
      <c r="H15" s="38">
        <f t="shared" si="5"/>
        <v>3296</v>
      </c>
      <c r="I15" s="47" t="s">
        <v>215</v>
      </c>
      <c r="J15" s="48" t="s">
        <v>216</v>
      </c>
      <c r="K15" s="47">
        <v>3296</v>
      </c>
      <c r="L15" s="47" t="s">
        <v>217</v>
      </c>
      <c r="M15" s="48" t="s">
        <v>150</v>
      </c>
      <c r="N15" s="48"/>
      <c r="O15" s="49" t="s">
        <v>218</v>
      </c>
      <c r="P15" s="49" t="s">
        <v>219</v>
      </c>
    </row>
    <row r="16" spans="1:16" ht="12.75" customHeight="1" thickBot="1" x14ac:dyDescent="0.25">
      <c r="A16" s="38" t="str">
        <f t="shared" si="0"/>
        <v> BBS 107 </v>
      </c>
      <c r="B16" s="2" t="str">
        <f t="shared" si="1"/>
        <v>I</v>
      </c>
      <c r="C16" s="38">
        <f t="shared" si="2"/>
        <v>49311.463000000003</v>
      </c>
      <c r="D16" s="17" t="str">
        <f t="shared" si="3"/>
        <v>vis</v>
      </c>
      <c r="E16" s="46">
        <f>VLOOKUP(C16,Active!C$21:E$973,3,FALSE)</f>
        <v>3400.8871990295297</v>
      </c>
      <c r="F16" s="2" t="s">
        <v>67</v>
      </c>
      <c r="G16" s="17" t="str">
        <f t="shared" si="4"/>
        <v>49311.463</v>
      </c>
      <c r="H16" s="38">
        <f t="shared" si="5"/>
        <v>3401</v>
      </c>
      <c r="I16" s="47" t="s">
        <v>220</v>
      </c>
      <c r="J16" s="48" t="s">
        <v>221</v>
      </c>
      <c r="K16" s="47">
        <v>3401</v>
      </c>
      <c r="L16" s="47" t="s">
        <v>222</v>
      </c>
      <c r="M16" s="48" t="s">
        <v>150</v>
      </c>
      <c r="N16" s="48"/>
      <c r="O16" s="49" t="s">
        <v>207</v>
      </c>
      <c r="P16" s="49" t="s">
        <v>223</v>
      </c>
    </row>
    <row r="17" spans="1:16" ht="12.75" customHeight="1" thickBot="1" x14ac:dyDescent="0.25">
      <c r="A17" s="38" t="str">
        <f t="shared" si="0"/>
        <v> BBS 106 </v>
      </c>
      <c r="B17" s="2" t="str">
        <f t="shared" si="1"/>
        <v>I</v>
      </c>
      <c r="C17" s="38">
        <f t="shared" si="2"/>
        <v>49384.358999999997</v>
      </c>
      <c r="D17" s="17" t="str">
        <f t="shared" si="3"/>
        <v>vis</v>
      </c>
      <c r="E17" s="46">
        <f>VLOOKUP(C17,Active!C$21:E$973,3,FALSE)</f>
        <v>3425.888459450292</v>
      </c>
      <c r="F17" s="2" t="s">
        <v>67</v>
      </c>
      <c r="G17" s="17" t="str">
        <f t="shared" si="4"/>
        <v>49384.359</v>
      </c>
      <c r="H17" s="38">
        <f t="shared" si="5"/>
        <v>3426</v>
      </c>
      <c r="I17" s="47" t="s">
        <v>224</v>
      </c>
      <c r="J17" s="48" t="s">
        <v>225</v>
      </c>
      <c r="K17" s="47">
        <v>3426</v>
      </c>
      <c r="L17" s="47" t="s">
        <v>226</v>
      </c>
      <c r="M17" s="48" t="s">
        <v>150</v>
      </c>
      <c r="N17" s="48"/>
      <c r="O17" s="49" t="s">
        <v>218</v>
      </c>
      <c r="P17" s="49" t="s">
        <v>227</v>
      </c>
    </row>
    <row r="18" spans="1:16" ht="12.75" customHeight="1" thickBot="1" x14ac:dyDescent="0.25">
      <c r="A18" s="38" t="str">
        <f t="shared" si="0"/>
        <v> BBS 114 </v>
      </c>
      <c r="B18" s="2" t="str">
        <f t="shared" si="1"/>
        <v>I</v>
      </c>
      <c r="C18" s="38">
        <f t="shared" si="2"/>
        <v>50422.324000000001</v>
      </c>
      <c r="D18" s="17" t="str">
        <f t="shared" si="3"/>
        <v>vis</v>
      </c>
      <c r="E18" s="46">
        <f>VLOOKUP(C18,Active!C$21:E$973,3,FALSE)</f>
        <v>3781.8810142220059</v>
      </c>
      <c r="F18" s="2" t="s">
        <v>67</v>
      </c>
      <c r="G18" s="17" t="str">
        <f t="shared" si="4"/>
        <v>50422.324</v>
      </c>
      <c r="H18" s="38">
        <f t="shared" si="5"/>
        <v>3782</v>
      </c>
      <c r="I18" s="47" t="s">
        <v>228</v>
      </c>
      <c r="J18" s="48" t="s">
        <v>229</v>
      </c>
      <c r="K18" s="47">
        <v>3782</v>
      </c>
      <c r="L18" s="47" t="s">
        <v>230</v>
      </c>
      <c r="M18" s="48" t="s">
        <v>150</v>
      </c>
      <c r="N18" s="48"/>
      <c r="O18" s="49" t="s">
        <v>218</v>
      </c>
      <c r="P18" s="49" t="s">
        <v>231</v>
      </c>
    </row>
    <row r="19" spans="1:16" ht="12.75" customHeight="1" thickBot="1" x14ac:dyDescent="0.25">
      <c r="A19" s="38" t="str">
        <f t="shared" si="0"/>
        <v>IBVS 5694 </v>
      </c>
      <c r="B19" s="2" t="str">
        <f t="shared" si="1"/>
        <v>I</v>
      </c>
      <c r="C19" s="38">
        <f t="shared" si="2"/>
        <v>53335.0314</v>
      </c>
      <c r="D19" s="17" t="str">
        <f t="shared" si="3"/>
        <v>vis</v>
      </c>
      <c r="E19" s="46">
        <f>VLOOKUP(C19,Active!C$21:E$973,3,FALSE)</f>
        <v>4780.8570381038071</v>
      </c>
      <c r="F19" s="2" t="s">
        <v>67</v>
      </c>
      <c r="G19" s="17" t="str">
        <f t="shared" si="4"/>
        <v>53335.0314</v>
      </c>
      <c r="H19" s="38">
        <f t="shared" si="5"/>
        <v>4781</v>
      </c>
      <c r="I19" s="47" t="s">
        <v>253</v>
      </c>
      <c r="J19" s="48" t="s">
        <v>254</v>
      </c>
      <c r="K19" s="47">
        <v>4781</v>
      </c>
      <c r="L19" s="47" t="s">
        <v>255</v>
      </c>
      <c r="M19" s="48" t="s">
        <v>212</v>
      </c>
      <c r="N19" s="48" t="s">
        <v>213</v>
      </c>
      <c r="O19" s="49" t="s">
        <v>256</v>
      </c>
      <c r="P19" s="50" t="s">
        <v>257</v>
      </c>
    </row>
    <row r="20" spans="1:16" ht="12.75" customHeight="1" thickBot="1" x14ac:dyDescent="0.25">
      <c r="A20" s="38" t="str">
        <f t="shared" si="0"/>
        <v>IBVS 5894 </v>
      </c>
      <c r="B20" s="2" t="str">
        <f t="shared" si="1"/>
        <v>I</v>
      </c>
      <c r="C20" s="38">
        <f t="shared" si="2"/>
        <v>54833.626199999999</v>
      </c>
      <c r="D20" s="17" t="str">
        <f t="shared" si="3"/>
        <v>vis</v>
      </c>
      <c r="E20" s="46">
        <f>VLOOKUP(C20,Active!C$21:E$973,3,FALSE)</f>
        <v>5294.8325492430104</v>
      </c>
      <c r="F20" s="2" t="s">
        <v>67</v>
      </c>
      <c r="G20" s="17" t="str">
        <f t="shared" si="4"/>
        <v>54833.6262</v>
      </c>
      <c r="H20" s="38">
        <f t="shared" si="5"/>
        <v>5295</v>
      </c>
      <c r="I20" s="47" t="s">
        <v>265</v>
      </c>
      <c r="J20" s="48" t="s">
        <v>266</v>
      </c>
      <c r="K20" s="47" t="s">
        <v>267</v>
      </c>
      <c r="L20" s="47" t="s">
        <v>268</v>
      </c>
      <c r="M20" s="48" t="s">
        <v>261</v>
      </c>
      <c r="N20" s="48" t="s">
        <v>67</v>
      </c>
      <c r="O20" s="49" t="s">
        <v>251</v>
      </c>
      <c r="P20" s="50" t="s">
        <v>269</v>
      </c>
    </row>
    <row r="21" spans="1:16" ht="12.75" customHeight="1" thickBot="1" x14ac:dyDescent="0.25">
      <c r="A21" s="38" t="str">
        <f t="shared" si="0"/>
        <v>IBVS 5960 </v>
      </c>
      <c r="B21" s="2" t="str">
        <f t="shared" si="1"/>
        <v>I</v>
      </c>
      <c r="C21" s="38">
        <f t="shared" si="2"/>
        <v>55480.869599999998</v>
      </c>
      <c r="D21" s="17" t="str">
        <f t="shared" si="3"/>
        <v>vis</v>
      </c>
      <c r="E21" s="46">
        <f>VLOOKUP(C21,Active!C$21:E$973,3,FALSE)</f>
        <v>5516.8186774121968</v>
      </c>
      <c r="F21" s="2" t="s">
        <v>67</v>
      </c>
      <c r="G21" s="17" t="str">
        <f t="shared" si="4"/>
        <v>55480.8696</v>
      </c>
      <c r="H21" s="38">
        <f t="shared" si="5"/>
        <v>5517</v>
      </c>
      <c r="I21" s="47" t="s">
        <v>270</v>
      </c>
      <c r="J21" s="48" t="s">
        <v>271</v>
      </c>
      <c r="K21" s="47" t="s">
        <v>272</v>
      </c>
      <c r="L21" s="47" t="s">
        <v>273</v>
      </c>
      <c r="M21" s="48" t="s">
        <v>261</v>
      </c>
      <c r="N21" s="48" t="s">
        <v>67</v>
      </c>
      <c r="O21" s="49" t="s">
        <v>251</v>
      </c>
      <c r="P21" s="50" t="s">
        <v>274</v>
      </c>
    </row>
    <row r="22" spans="1:16" ht="12.75" customHeight="1" thickBot="1" x14ac:dyDescent="0.25">
      <c r="A22" s="38" t="str">
        <f t="shared" si="0"/>
        <v>IBVS 6093 </v>
      </c>
      <c r="B22" s="2" t="str">
        <f t="shared" si="1"/>
        <v>I</v>
      </c>
      <c r="C22" s="38">
        <f t="shared" si="2"/>
        <v>56588.7932</v>
      </c>
      <c r="D22" s="17" t="str">
        <f t="shared" si="3"/>
        <v>vis</v>
      </c>
      <c r="E22" s="46">
        <f>VLOOKUP(C22,Active!C$21:E$973,3,FALSE)</f>
        <v>5896.8050477193592</v>
      </c>
      <c r="F22" s="2" t="s">
        <v>67</v>
      </c>
      <c r="G22" s="17" t="str">
        <f t="shared" si="4"/>
        <v>56588.7932</v>
      </c>
      <c r="H22" s="38">
        <f t="shared" si="5"/>
        <v>5897</v>
      </c>
      <c r="I22" s="47" t="s">
        <v>275</v>
      </c>
      <c r="J22" s="48" t="s">
        <v>276</v>
      </c>
      <c r="K22" s="47" t="s">
        <v>277</v>
      </c>
      <c r="L22" s="47" t="s">
        <v>278</v>
      </c>
      <c r="M22" s="48" t="s">
        <v>261</v>
      </c>
      <c r="N22" s="48" t="s">
        <v>67</v>
      </c>
      <c r="O22" s="49" t="s">
        <v>251</v>
      </c>
      <c r="P22" s="50" t="s">
        <v>279</v>
      </c>
    </row>
    <row r="23" spans="1:16" ht="12.75" customHeight="1" thickBot="1" x14ac:dyDescent="0.25">
      <c r="A23" s="38" t="str">
        <f t="shared" si="0"/>
        <v> MVS 12.113 </v>
      </c>
      <c r="B23" s="2" t="str">
        <f t="shared" si="1"/>
        <v>I</v>
      </c>
      <c r="C23" s="38">
        <f t="shared" si="2"/>
        <v>32441.525000000001</v>
      </c>
      <c r="D23" s="17" t="str">
        <f t="shared" si="3"/>
        <v>vis</v>
      </c>
      <c r="E23" s="46">
        <f>VLOOKUP(C23,Active!C$21:E$973,3,FALSE)</f>
        <v>-2385.0230459791187</v>
      </c>
      <c r="F23" s="2" t="s">
        <v>67</v>
      </c>
      <c r="G23" s="17" t="str">
        <f t="shared" si="4"/>
        <v>32441.525</v>
      </c>
      <c r="H23" s="38">
        <f t="shared" si="5"/>
        <v>-2385</v>
      </c>
      <c r="I23" s="47" t="s">
        <v>70</v>
      </c>
      <c r="J23" s="48" t="s">
        <v>71</v>
      </c>
      <c r="K23" s="47">
        <v>-2385</v>
      </c>
      <c r="L23" s="47" t="s">
        <v>72</v>
      </c>
      <c r="M23" s="48" t="s">
        <v>73</v>
      </c>
      <c r="N23" s="48"/>
      <c r="O23" s="49" t="s">
        <v>74</v>
      </c>
      <c r="P23" s="49" t="s">
        <v>75</v>
      </c>
    </row>
    <row r="24" spans="1:16" ht="12.75" customHeight="1" thickBot="1" x14ac:dyDescent="0.25">
      <c r="A24" s="38" t="str">
        <f t="shared" si="0"/>
        <v> MVS 12.113 </v>
      </c>
      <c r="B24" s="2" t="str">
        <f t="shared" si="1"/>
        <v>I</v>
      </c>
      <c r="C24" s="38">
        <f t="shared" si="2"/>
        <v>32444.473999999998</v>
      </c>
      <c r="D24" s="17" t="str">
        <f t="shared" si="3"/>
        <v>vis</v>
      </c>
      <c r="E24" s="46">
        <f>VLOOKUP(C24,Active!C$21:E$973,3,FALSE)</f>
        <v>-2384.0116226228201</v>
      </c>
      <c r="F24" s="2" t="s">
        <v>67</v>
      </c>
      <c r="G24" s="17" t="str">
        <f t="shared" si="4"/>
        <v>32444.474</v>
      </c>
      <c r="H24" s="38">
        <f t="shared" si="5"/>
        <v>-2384</v>
      </c>
      <c r="I24" s="47" t="s">
        <v>76</v>
      </c>
      <c r="J24" s="48" t="s">
        <v>77</v>
      </c>
      <c r="K24" s="47">
        <v>-2384</v>
      </c>
      <c r="L24" s="47" t="s">
        <v>78</v>
      </c>
      <c r="M24" s="48" t="s">
        <v>73</v>
      </c>
      <c r="N24" s="48"/>
      <c r="O24" s="49" t="s">
        <v>74</v>
      </c>
      <c r="P24" s="49" t="s">
        <v>75</v>
      </c>
    </row>
    <row r="25" spans="1:16" ht="12.75" customHeight="1" thickBot="1" x14ac:dyDescent="0.25">
      <c r="A25" s="38" t="str">
        <f t="shared" si="0"/>
        <v> MVS 12.113 </v>
      </c>
      <c r="B25" s="2" t="str">
        <f t="shared" si="1"/>
        <v>I</v>
      </c>
      <c r="C25" s="38">
        <f t="shared" si="2"/>
        <v>36526.542999999998</v>
      </c>
      <c r="D25" s="17" t="str">
        <f t="shared" si="3"/>
        <v>vis</v>
      </c>
      <c r="E25" s="46">
        <f>VLOOKUP(C25,Active!C$21:E$973,3,FALSE)</f>
        <v>-983.97773702512541</v>
      </c>
      <c r="F25" s="2" t="s">
        <v>67</v>
      </c>
      <c r="G25" s="17" t="str">
        <f t="shared" si="4"/>
        <v>36526.543</v>
      </c>
      <c r="H25" s="38">
        <f t="shared" si="5"/>
        <v>-984</v>
      </c>
      <c r="I25" s="47" t="s">
        <v>79</v>
      </c>
      <c r="J25" s="48" t="s">
        <v>80</v>
      </c>
      <c r="K25" s="47">
        <v>-984</v>
      </c>
      <c r="L25" s="47" t="s">
        <v>81</v>
      </c>
      <c r="M25" s="48" t="s">
        <v>73</v>
      </c>
      <c r="N25" s="48"/>
      <c r="O25" s="49" t="s">
        <v>74</v>
      </c>
      <c r="P25" s="49" t="s">
        <v>75</v>
      </c>
    </row>
    <row r="26" spans="1:16" ht="12.75" customHeight="1" thickBot="1" x14ac:dyDescent="0.25">
      <c r="A26" s="38" t="str">
        <f t="shared" si="0"/>
        <v>IBVS 64 </v>
      </c>
      <c r="B26" s="2" t="str">
        <f t="shared" si="1"/>
        <v>I</v>
      </c>
      <c r="C26" s="38">
        <f t="shared" si="2"/>
        <v>38433.339999999997</v>
      </c>
      <c r="D26" s="17" t="str">
        <f t="shared" si="3"/>
        <v>vis</v>
      </c>
      <c r="E26" s="46">
        <f>VLOOKUP(C26,Active!C$21:E$973,3,FALSE)</f>
        <v>-330.000449292844</v>
      </c>
      <c r="F26" s="2" t="s">
        <v>67</v>
      </c>
      <c r="G26" s="17" t="str">
        <f t="shared" si="4"/>
        <v>38433.340</v>
      </c>
      <c r="H26" s="38">
        <f t="shared" si="5"/>
        <v>-330</v>
      </c>
      <c r="I26" s="47" t="s">
        <v>82</v>
      </c>
      <c r="J26" s="48" t="s">
        <v>83</v>
      </c>
      <c r="K26" s="47">
        <v>-330</v>
      </c>
      <c r="L26" s="47" t="s">
        <v>84</v>
      </c>
      <c r="M26" s="48" t="s">
        <v>73</v>
      </c>
      <c r="N26" s="48"/>
      <c r="O26" s="49" t="s">
        <v>85</v>
      </c>
      <c r="P26" s="50" t="s">
        <v>86</v>
      </c>
    </row>
    <row r="27" spans="1:16" ht="12.75" customHeight="1" thickBot="1" x14ac:dyDescent="0.25">
      <c r="A27" s="38" t="str">
        <f t="shared" si="0"/>
        <v> PZ 18.85 </v>
      </c>
      <c r="B27" s="2" t="str">
        <f t="shared" si="1"/>
        <v>I</v>
      </c>
      <c r="C27" s="38">
        <f t="shared" si="2"/>
        <v>38669.468999999997</v>
      </c>
      <c r="D27" s="17" t="str">
        <f t="shared" si="3"/>
        <v>vis</v>
      </c>
      <c r="E27" s="46">
        <f>VLOOKUP(C27,Active!C$21:E$973,3,FALSE)</f>
        <v>-249.01489971680815</v>
      </c>
      <c r="F27" s="2" t="s">
        <v>67</v>
      </c>
      <c r="G27" s="17" t="str">
        <f t="shared" si="4"/>
        <v>38669.469</v>
      </c>
      <c r="H27" s="38">
        <f t="shared" si="5"/>
        <v>-249</v>
      </c>
      <c r="I27" s="47" t="s">
        <v>87</v>
      </c>
      <c r="J27" s="48" t="s">
        <v>88</v>
      </c>
      <c r="K27" s="47">
        <v>-249</v>
      </c>
      <c r="L27" s="47" t="s">
        <v>89</v>
      </c>
      <c r="M27" s="48" t="s">
        <v>73</v>
      </c>
      <c r="N27" s="48"/>
      <c r="O27" s="49" t="s">
        <v>90</v>
      </c>
      <c r="P27" s="49" t="s">
        <v>91</v>
      </c>
    </row>
    <row r="28" spans="1:16" ht="12.75" customHeight="1" thickBot="1" x14ac:dyDescent="0.25">
      <c r="A28" s="38" t="str">
        <f t="shared" si="0"/>
        <v> MHAR 12.10 </v>
      </c>
      <c r="B28" s="2" t="str">
        <f t="shared" si="1"/>
        <v>I</v>
      </c>
      <c r="C28" s="38">
        <f t="shared" si="2"/>
        <v>38739.521000000001</v>
      </c>
      <c r="D28" s="17" t="str">
        <f t="shared" si="3"/>
        <v>vis</v>
      </c>
      <c r="E28" s="46">
        <f>VLOOKUP(C28,Active!C$21:E$973,3,FALSE)</f>
        <v>-224.98905063050057</v>
      </c>
      <c r="F28" s="2" t="s">
        <v>67</v>
      </c>
      <c r="G28" s="17" t="str">
        <f t="shared" si="4"/>
        <v>38739.521</v>
      </c>
      <c r="H28" s="38">
        <f t="shared" si="5"/>
        <v>-225</v>
      </c>
      <c r="I28" s="47" t="s">
        <v>92</v>
      </c>
      <c r="J28" s="48" t="s">
        <v>93</v>
      </c>
      <c r="K28" s="47">
        <v>-225</v>
      </c>
      <c r="L28" s="47" t="s">
        <v>94</v>
      </c>
      <c r="M28" s="48" t="s">
        <v>73</v>
      </c>
      <c r="N28" s="48"/>
      <c r="O28" s="49" t="s">
        <v>95</v>
      </c>
      <c r="P28" s="49" t="s">
        <v>96</v>
      </c>
    </row>
    <row r="29" spans="1:16" ht="12.75" customHeight="1" thickBot="1" x14ac:dyDescent="0.25">
      <c r="A29" s="38" t="str">
        <f t="shared" si="0"/>
        <v> PZ 18.85 </v>
      </c>
      <c r="B29" s="2" t="str">
        <f t="shared" si="1"/>
        <v>I</v>
      </c>
      <c r="C29" s="38">
        <f t="shared" si="2"/>
        <v>39395.519</v>
      </c>
      <c r="D29" s="17" t="str">
        <f t="shared" si="3"/>
        <v>vis</v>
      </c>
      <c r="E29" s="46">
        <f>VLOOKUP(C29,Active!C$21:E$973,3,FALSE)</f>
        <v>-3.4297163541077474E-4</v>
      </c>
      <c r="F29" s="2" t="s">
        <v>67</v>
      </c>
      <c r="G29" s="17" t="str">
        <f t="shared" si="4"/>
        <v>39395.519</v>
      </c>
      <c r="H29" s="38">
        <f t="shared" si="5"/>
        <v>0</v>
      </c>
      <c r="I29" s="47" t="s">
        <v>97</v>
      </c>
      <c r="J29" s="48" t="s">
        <v>98</v>
      </c>
      <c r="K29" s="47">
        <v>0</v>
      </c>
      <c r="L29" s="47" t="s">
        <v>84</v>
      </c>
      <c r="M29" s="48" t="s">
        <v>73</v>
      </c>
      <c r="N29" s="48"/>
      <c r="O29" s="49" t="s">
        <v>90</v>
      </c>
      <c r="P29" s="49" t="s">
        <v>91</v>
      </c>
    </row>
    <row r="30" spans="1:16" ht="12.75" customHeight="1" thickBot="1" x14ac:dyDescent="0.25">
      <c r="A30" s="38" t="str">
        <f t="shared" si="0"/>
        <v> PZ 18.85 </v>
      </c>
      <c r="B30" s="2" t="str">
        <f t="shared" si="1"/>
        <v>I</v>
      </c>
      <c r="C30" s="38">
        <f t="shared" si="2"/>
        <v>40503.49</v>
      </c>
      <c r="D30" s="17" t="str">
        <f t="shared" si="3"/>
        <v>vis</v>
      </c>
      <c r="E30" s="46">
        <f>VLOOKUP(C30,Active!C$21:E$973,3,FALSE)</f>
        <v>380.00228419110005</v>
      </c>
      <c r="F30" s="2" t="s">
        <v>67</v>
      </c>
      <c r="G30" s="17" t="str">
        <f t="shared" si="4"/>
        <v>40503.490</v>
      </c>
      <c r="H30" s="38">
        <f t="shared" si="5"/>
        <v>380</v>
      </c>
      <c r="I30" s="47" t="s">
        <v>99</v>
      </c>
      <c r="J30" s="48" t="s">
        <v>100</v>
      </c>
      <c r="K30" s="47">
        <v>380</v>
      </c>
      <c r="L30" s="47" t="s">
        <v>101</v>
      </c>
      <c r="M30" s="48" t="s">
        <v>73</v>
      </c>
      <c r="N30" s="48"/>
      <c r="O30" s="49" t="s">
        <v>90</v>
      </c>
      <c r="P30" s="49" t="s">
        <v>91</v>
      </c>
    </row>
    <row r="31" spans="1:16" ht="12.75" customHeight="1" thickBot="1" x14ac:dyDescent="0.25">
      <c r="A31" s="38" t="str">
        <f t="shared" si="0"/>
        <v> MHAR 12.10 </v>
      </c>
      <c r="B31" s="2" t="str">
        <f t="shared" si="1"/>
        <v>I</v>
      </c>
      <c r="C31" s="38">
        <f t="shared" si="2"/>
        <v>40506.387999999999</v>
      </c>
      <c r="D31" s="17" t="str">
        <f t="shared" si="3"/>
        <v>vis</v>
      </c>
      <c r="E31" s="46">
        <f>VLOOKUP(C31,Active!C$21:E$973,3,FALSE)</f>
        <v>380.99621599393424</v>
      </c>
      <c r="F31" s="2" t="s">
        <v>67</v>
      </c>
      <c r="G31" s="17" t="str">
        <f t="shared" si="4"/>
        <v>40506.388</v>
      </c>
      <c r="H31" s="38">
        <f t="shared" si="5"/>
        <v>381</v>
      </c>
      <c r="I31" s="47" t="s">
        <v>102</v>
      </c>
      <c r="J31" s="48" t="s">
        <v>103</v>
      </c>
      <c r="K31" s="47">
        <v>381</v>
      </c>
      <c r="L31" s="47" t="s">
        <v>104</v>
      </c>
      <c r="M31" s="48" t="s">
        <v>73</v>
      </c>
      <c r="N31" s="48"/>
      <c r="O31" s="49" t="s">
        <v>95</v>
      </c>
      <c r="P31" s="49" t="s">
        <v>96</v>
      </c>
    </row>
    <row r="32" spans="1:16" ht="12.75" customHeight="1" thickBot="1" x14ac:dyDescent="0.25">
      <c r="A32" s="38" t="str">
        <f t="shared" si="0"/>
        <v> MVS 12.113 </v>
      </c>
      <c r="B32" s="2" t="str">
        <f t="shared" si="1"/>
        <v>I</v>
      </c>
      <c r="C32" s="38">
        <f t="shared" si="2"/>
        <v>40917.453000000001</v>
      </c>
      <c r="D32" s="17" t="str">
        <f t="shared" si="3"/>
        <v>vis</v>
      </c>
      <c r="E32" s="46">
        <f>VLOOKUP(C32,Active!C$21:E$973,3,FALSE)</f>
        <v>521.97985178823853</v>
      </c>
      <c r="F32" s="2" t="s">
        <v>67</v>
      </c>
      <c r="G32" s="17" t="str">
        <f t="shared" si="4"/>
        <v>40917.453</v>
      </c>
      <c r="H32" s="38">
        <f t="shared" si="5"/>
        <v>522</v>
      </c>
      <c r="I32" s="47" t="s">
        <v>105</v>
      </c>
      <c r="J32" s="48" t="s">
        <v>106</v>
      </c>
      <c r="K32" s="47">
        <v>522</v>
      </c>
      <c r="L32" s="47" t="s">
        <v>107</v>
      </c>
      <c r="M32" s="48" t="s">
        <v>73</v>
      </c>
      <c r="N32" s="48"/>
      <c r="O32" s="49" t="s">
        <v>74</v>
      </c>
      <c r="P32" s="49" t="s">
        <v>75</v>
      </c>
    </row>
    <row r="33" spans="1:16" ht="12.75" customHeight="1" thickBot="1" x14ac:dyDescent="0.25">
      <c r="A33" s="38" t="str">
        <f t="shared" si="0"/>
        <v> MHAR 12.10 </v>
      </c>
      <c r="B33" s="2" t="str">
        <f t="shared" si="1"/>
        <v>I</v>
      </c>
      <c r="C33" s="38">
        <f t="shared" si="2"/>
        <v>41337.355000000003</v>
      </c>
      <c r="D33" s="17" t="str">
        <f t="shared" si="3"/>
        <v>vis</v>
      </c>
      <c r="E33" s="46">
        <f>VLOOKUP(C33,Active!C$21:E$973,3,FALSE)</f>
        <v>665.99432793507629</v>
      </c>
      <c r="F33" s="2" t="s">
        <v>67</v>
      </c>
      <c r="G33" s="17" t="str">
        <f t="shared" si="4"/>
        <v>41337.355</v>
      </c>
      <c r="H33" s="38">
        <f t="shared" si="5"/>
        <v>666</v>
      </c>
      <c r="I33" s="47" t="s">
        <v>108</v>
      </c>
      <c r="J33" s="48" t="s">
        <v>109</v>
      </c>
      <c r="K33" s="47">
        <v>666</v>
      </c>
      <c r="L33" s="47" t="s">
        <v>110</v>
      </c>
      <c r="M33" s="48" t="s">
        <v>69</v>
      </c>
      <c r="N33" s="48"/>
      <c r="O33" s="49" t="s">
        <v>95</v>
      </c>
      <c r="P33" s="49" t="s">
        <v>96</v>
      </c>
    </row>
    <row r="34" spans="1:16" ht="12.75" customHeight="1" thickBot="1" x14ac:dyDescent="0.25">
      <c r="A34" s="38" t="str">
        <f t="shared" si="0"/>
        <v> MVS 12.113 </v>
      </c>
      <c r="B34" s="2" t="str">
        <f t="shared" si="1"/>
        <v>I</v>
      </c>
      <c r="C34" s="38">
        <f t="shared" si="2"/>
        <v>41573.512000000002</v>
      </c>
      <c r="D34" s="17" t="str">
        <f t="shared" si="3"/>
        <v>vis</v>
      </c>
      <c r="E34" s="46">
        <f>VLOOKUP(C34,Active!C$21:E$973,3,FALSE)</f>
        <v>746.9894807169361</v>
      </c>
      <c r="F34" s="2" t="s">
        <v>67</v>
      </c>
      <c r="G34" s="17" t="str">
        <f t="shared" si="4"/>
        <v>41573.512</v>
      </c>
      <c r="H34" s="38">
        <f t="shared" si="5"/>
        <v>747</v>
      </c>
      <c r="I34" s="47" t="s">
        <v>111</v>
      </c>
      <c r="J34" s="48" t="s">
        <v>112</v>
      </c>
      <c r="K34" s="47">
        <v>747</v>
      </c>
      <c r="L34" s="47" t="s">
        <v>113</v>
      </c>
      <c r="M34" s="48" t="s">
        <v>73</v>
      </c>
      <c r="N34" s="48"/>
      <c r="O34" s="49" t="s">
        <v>74</v>
      </c>
      <c r="P34" s="49" t="s">
        <v>75</v>
      </c>
    </row>
    <row r="35" spans="1:16" ht="12.75" customHeight="1" thickBot="1" x14ac:dyDescent="0.25">
      <c r="A35" s="38" t="str">
        <f t="shared" si="0"/>
        <v> MVS 12.113 </v>
      </c>
      <c r="B35" s="2" t="str">
        <f t="shared" si="1"/>
        <v>I</v>
      </c>
      <c r="C35" s="38">
        <f t="shared" si="2"/>
        <v>41990.472999999998</v>
      </c>
      <c r="D35" s="17" t="str">
        <f t="shared" si="3"/>
        <v>vis</v>
      </c>
      <c r="E35" s="46">
        <f>VLOOKUP(C35,Active!C$21:E$973,3,FALSE)</f>
        <v>889.99527728056455</v>
      </c>
      <c r="F35" s="2" t="s">
        <v>67</v>
      </c>
      <c r="G35" s="17" t="str">
        <f t="shared" si="4"/>
        <v>41990.473</v>
      </c>
      <c r="H35" s="38">
        <f t="shared" si="5"/>
        <v>890</v>
      </c>
      <c r="I35" s="47" t="s">
        <v>114</v>
      </c>
      <c r="J35" s="48" t="s">
        <v>115</v>
      </c>
      <c r="K35" s="47">
        <v>890</v>
      </c>
      <c r="L35" s="47" t="s">
        <v>116</v>
      </c>
      <c r="M35" s="48" t="s">
        <v>73</v>
      </c>
      <c r="N35" s="48"/>
      <c r="O35" s="49" t="s">
        <v>74</v>
      </c>
      <c r="P35" s="49" t="s">
        <v>75</v>
      </c>
    </row>
    <row r="36" spans="1:16" ht="12.75" customHeight="1" thickBot="1" x14ac:dyDescent="0.25">
      <c r="A36" s="38" t="str">
        <f t="shared" si="0"/>
        <v> MVS 12.113 </v>
      </c>
      <c r="B36" s="2" t="str">
        <f t="shared" si="1"/>
        <v>I</v>
      </c>
      <c r="C36" s="38">
        <f t="shared" si="2"/>
        <v>42095.286</v>
      </c>
      <c r="D36" s="17" t="str">
        <f t="shared" si="3"/>
        <v>vis</v>
      </c>
      <c r="E36" s="46">
        <f>VLOOKUP(C36,Active!C$21:E$973,3,FALSE)</f>
        <v>925.94316342632885</v>
      </c>
      <c r="F36" s="2" t="s">
        <v>67</v>
      </c>
      <c r="G36" s="17" t="str">
        <f t="shared" si="4"/>
        <v>42095.286</v>
      </c>
      <c r="H36" s="38">
        <f t="shared" si="5"/>
        <v>926</v>
      </c>
      <c r="I36" s="47" t="s">
        <v>117</v>
      </c>
      <c r="J36" s="48" t="s">
        <v>118</v>
      </c>
      <c r="K36" s="47">
        <v>926</v>
      </c>
      <c r="L36" s="47" t="s">
        <v>119</v>
      </c>
      <c r="M36" s="48" t="s">
        <v>73</v>
      </c>
      <c r="N36" s="48"/>
      <c r="O36" s="49" t="s">
        <v>74</v>
      </c>
      <c r="P36" s="49" t="s">
        <v>75</v>
      </c>
    </row>
    <row r="37" spans="1:16" ht="12.75" customHeight="1" thickBot="1" x14ac:dyDescent="0.25">
      <c r="A37" s="38" t="str">
        <f t="shared" si="0"/>
        <v> MVS 12.113 </v>
      </c>
      <c r="B37" s="2" t="str">
        <f t="shared" si="1"/>
        <v>I</v>
      </c>
      <c r="C37" s="38">
        <f t="shared" si="2"/>
        <v>42302.512000000002</v>
      </c>
      <c r="D37" s="17" t="str">
        <f t="shared" si="3"/>
        <v>vis</v>
      </c>
      <c r="E37" s="46">
        <f>VLOOKUP(C37,Active!C$21:E$973,3,FALSE)</f>
        <v>997.01580379004429</v>
      </c>
      <c r="F37" s="2" t="s">
        <v>67</v>
      </c>
      <c r="G37" s="17" t="str">
        <f t="shared" si="4"/>
        <v>42302.512</v>
      </c>
      <c r="H37" s="38">
        <f t="shared" si="5"/>
        <v>997</v>
      </c>
      <c r="I37" s="47" t="s">
        <v>120</v>
      </c>
      <c r="J37" s="48" t="s">
        <v>121</v>
      </c>
      <c r="K37" s="47">
        <v>997</v>
      </c>
      <c r="L37" s="47" t="s">
        <v>122</v>
      </c>
      <c r="M37" s="48" t="s">
        <v>73</v>
      </c>
      <c r="N37" s="48"/>
      <c r="O37" s="49" t="s">
        <v>74</v>
      </c>
      <c r="P37" s="49" t="s">
        <v>75</v>
      </c>
    </row>
    <row r="38" spans="1:16" ht="12.75" customHeight="1" thickBot="1" x14ac:dyDescent="0.25">
      <c r="A38" s="38" t="str">
        <f t="shared" si="0"/>
        <v> MVS 12.113 </v>
      </c>
      <c r="B38" s="2" t="str">
        <f t="shared" si="1"/>
        <v>I</v>
      </c>
      <c r="C38" s="38">
        <f t="shared" si="2"/>
        <v>42448.271999999997</v>
      </c>
      <c r="D38" s="17" t="str">
        <f t="shared" si="3"/>
        <v>vis</v>
      </c>
      <c r="E38" s="46">
        <f>VLOOKUP(C38,Active!C$21:E$973,3,FALSE)</f>
        <v>1047.0073495392005</v>
      </c>
      <c r="F38" s="2" t="s">
        <v>67</v>
      </c>
      <c r="G38" s="17" t="str">
        <f t="shared" si="4"/>
        <v>42448.272</v>
      </c>
      <c r="H38" s="38">
        <f t="shared" si="5"/>
        <v>1047</v>
      </c>
      <c r="I38" s="47" t="s">
        <v>123</v>
      </c>
      <c r="J38" s="48" t="s">
        <v>124</v>
      </c>
      <c r="K38" s="47">
        <v>1047</v>
      </c>
      <c r="L38" s="47" t="s">
        <v>125</v>
      </c>
      <c r="M38" s="48" t="s">
        <v>73</v>
      </c>
      <c r="N38" s="48"/>
      <c r="O38" s="49" t="s">
        <v>74</v>
      </c>
      <c r="P38" s="49" t="s">
        <v>75</v>
      </c>
    </row>
    <row r="39" spans="1:16" ht="12.75" customHeight="1" thickBot="1" x14ac:dyDescent="0.25">
      <c r="A39" s="38" t="str">
        <f t="shared" si="0"/>
        <v> MVS 12.113 </v>
      </c>
      <c r="B39" s="2" t="str">
        <f t="shared" si="1"/>
        <v>I</v>
      </c>
      <c r="C39" s="38">
        <f t="shared" si="2"/>
        <v>42716.466999999997</v>
      </c>
      <c r="D39" s="17" t="str">
        <f t="shared" si="3"/>
        <v>vis</v>
      </c>
      <c r="E39" s="46">
        <f>VLOOKUP(C39,Active!C$21:E$973,3,FALSE)</f>
        <v>1138.9906276140869</v>
      </c>
      <c r="F39" s="2" t="s">
        <v>67</v>
      </c>
      <c r="G39" s="17" t="str">
        <f t="shared" si="4"/>
        <v>42716.467</v>
      </c>
      <c r="H39" s="38">
        <f t="shared" si="5"/>
        <v>1139</v>
      </c>
      <c r="I39" s="47" t="s">
        <v>126</v>
      </c>
      <c r="J39" s="48" t="s">
        <v>127</v>
      </c>
      <c r="K39" s="47">
        <v>1139</v>
      </c>
      <c r="L39" s="47" t="s">
        <v>128</v>
      </c>
      <c r="M39" s="48" t="s">
        <v>73</v>
      </c>
      <c r="N39" s="48"/>
      <c r="O39" s="49" t="s">
        <v>74</v>
      </c>
      <c r="P39" s="49" t="s">
        <v>75</v>
      </c>
    </row>
    <row r="40" spans="1:16" ht="12.75" customHeight="1" thickBot="1" x14ac:dyDescent="0.25">
      <c r="A40" s="38" t="str">
        <f t="shared" si="0"/>
        <v> MVS 12.113 </v>
      </c>
      <c r="B40" s="2" t="str">
        <f t="shared" si="1"/>
        <v>I</v>
      </c>
      <c r="C40" s="38">
        <f t="shared" si="2"/>
        <v>43401.561000000002</v>
      </c>
      <c r="D40" s="17" t="str">
        <f t="shared" si="3"/>
        <v>vis</v>
      </c>
      <c r="E40" s="46">
        <f>VLOOKUP(C40,Active!C$21:E$973,3,FALSE)</f>
        <v>1373.9584380111364</v>
      </c>
      <c r="F40" s="2" t="s">
        <v>67</v>
      </c>
      <c r="G40" s="17" t="str">
        <f t="shared" si="4"/>
        <v>43401.561</v>
      </c>
      <c r="H40" s="38">
        <f t="shared" si="5"/>
        <v>1374</v>
      </c>
      <c r="I40" s="47" t="s">
        <v>129</v>
      </c>
      <c r="J40" s="48" t="s">
        <v>130</v>
      </c>
      <c r="K40" s="47">
        <v>1374</v>
      </c>
      <c r="L40" s="47" t="s">
        <v>131</v>
      </c>
      <c r="M40" s="48" t="s">
        <v>73</v>
      </c>
      <c r="N40" s="48"/>
      <c r="O40" s="49" t="s">
        <v>74</v>
      </c>
      <c r="P40" s="49" t="s">
        <v>75</v>
      </c>
    </row>
    <row r="41" spans="1:16" ht="12.75" customHeight="1" thickBot="1" x14ac:dyDescent="0.25">
      <c r="A41" s="38" t="str">
        <f t="shared" si="0"/>
        <v> MVS 12.113 </v>
      </c>
      <c r="B41" s="2" t="str">
        <f t="shared" si="1"/>
        <v>I</v>
      </c>
      <c r="C41" s="38">
        <f t="shared" si="2"/>
        <v>43436.510999999999</v>
      </c>
      <c r="D41" s="17" t="str">
        <f t="shared" si="3"/>
        <v>vis</v>
      </c>
      <c r="E41" s="46">
        <f>VLOOKUP(C41,Active!C$21:E$973,3,FALSE)</f>
        <v>1385.945296709908</v>
      </c>
      <c r="F41" s="2" t="s">
        <v>67</v>
      </c>
      <c r="G41" s="17" t="str">
        <f t="shared" si="4"/>
        <v>43436.511</v>
      </c>
      <c r="H41" s="38">
        <f t="shared" si="5"/>
        <v>1386</v>
      </c>
      <c r="I41" s="47" t="s">
        <v>132</v>
      </c>
      <c r="J41" s="48" t="s">
        <v>133</v>
      </c>
      <c r="K41" s="47">
        <v>1386</v>
      </c>
      <c r="L41" s="47" t="s">
        <v>134</v>
      </c>
      <c r="M41" s="48" t="s">
        <v>73</v>
      </c>
      <c r="N41" s="48"/>
      <c r="O41" s="49" t="s">
        <v>74</v>
      </c>
      <c r="P41" s="49" t="s">
        <v>75</v>
      </c>
    </row>
    <row r="42" spans="1:16" ht="12.75" customHeight="1" thickBot="1" x14ac:dyDescent="0.25">
      <c r="A42" s="38" t="str">
        <f t="shared" si="0"/>
        <v> MVS 12.113 </v>
      </c>
      <c r="B42" s="2" t="str">
        <f t="shared" si="1"/>
        <v>I</v>
      </c>
      <c r="C42" s="38">
        <f t="shared" si="2"/>
        <v>44853.533000000003</v>
      </c>
      <c r="D42" s="17" t="str">
        <f t="shared" si="3"/>
        <v>vis</v>
      </c>
      <c r="E42" s="46">
        <f>VLOOKUP(C42,Active!C$21:E$973,3,FALSE)</f>
        <v>1871.9436511319971</v>
      </c>
      <c r="F42" s="2" t="s">
        <v>67</v>
      </c>
      <c r="G42" s="17" t="str">
        <f t="shared" si="4"/>
        <v>44853.533</v>
      </c>
      <c r="H42" s="38">
        <f t="shared" si="5"/>
        <v>1872</v>
      </c>
      <c r="I42" s="47" t="s">
        <v>135</v>
      </c>
      <c r="J42" s="48" t="s">
        <v>136</v>
      </c>
      <c r="K42" s="47">
        <v>1872</v>
      </c>
      <c r="L42" s="47" t="s">
        <v>137</v>
      </c>
      <c r="M42" s="48" t="s">
        <v>73</v>
      </c>
      <c r="N42" s="48"/>
      <c r="O42" s="49" t="s">
        <v>74</v>
      </c>
      <c r="P42" s="49" t="s">
        <v>75</v>
      </c>
    </row>
    <row r="43" spans="1:16" ht="12.75" customHeight="1" thickBot="1" x14ac:dyDescent="0.25">
      <c r="A43" s="38" t="str">
        <f t="shared" ref="A43:A65" si="6">P43</f>
        <v> MVS 12.113 </v>
      </c>
      <c r="B43" s="2" t="str">
        <f t="shared" ref="B43:B65" si="7">IF(H43=INT(H43),"I","II")</f>
        <v>I</v>
      </c>
      <c r="C43" s="38">
        <f t="shared" ref="C43:C65" si="8">1*G43</f>
        <v>44967.370999999999</v>
      </c>
      <c r="D43" s="17" t="str">
        <f t="shared" ref="D43:D65" si="9">VLOOKUP(F43,I$1:J$5,2,FALSE)</f>
        <v>vis</v>
      </c>
      <c r="E43" s="46">
        <f>VLOOKUP(C43,Active!C$21:E$973,3,FALSE)</f>
        <v>1910.9868562979718</v>
      </c>
      <c r="F43" s="2" t="s">
        <v>67</v>
      </c>
      <c r="G43" s="17" t="str">
        <f t="shared" ref="G43:G65" si="10">MID(I43,3,LEN(I43)-3)</f>
        <v>44967.371</v>
      </c>
      <c r="H43" s="38">
        <f t="shared" ref="H43:H65" si="11">1*K43</f>
        <v>1911</v>
      </c>
      <c r="I43" s="47" t="s">
        <v>138</v>
      </c>
      <c r="J43" s="48" t="s">
        <v>139</v>
      </c>
      <c r="K43" s="47">
        <v>1911</v>
      </c>
      <c r="L43" s="47" t="s">
        <v>140</v>
      </c>
      <c r="M43" s="48" t="s">
        <v>73</v>
      </c>
      <c r="N43" s="48"/>
      <c r="O43" s="49" t="s">
        <v>74</v>
      </c>
      <c r="P43" s="49" t="s">
        <v>75</v>
      </c>
    </row>
    <row r="44" spans="1:16" ht="12.75" customHeight="1" thickBot="1" x14ac:dyDescent="0.25">
      <c r="A44" s="38" t="str">
        <f t="shared" si="6"/>
        <v> MVS 12.113 </v>
      </c>
      <c r="B44" s="2" t="str">
        <f t="shared" si="7"/>
        <v>I</v>
      </c>
      <c r="C44" s="38">
        <f t="shared" si="8"/>
        <v>45229.508000000002</v>
      </c>
      <c r="D44" s="17" t="str">
        <f t="shared" si="9"/>
        <v>vis</v>
      </c>
      <c r="E44" s="46">
        <f>VLOOKUP(C44,Active!C$21:E$973,3,FALSE)</f>
        <v>2000.8924121984053</v>
      </c>
      <c r="F44" s="2" t="s">
        <v>67</v>
      </c>
      <c r="G44" s="17" t="str">
        <f t="shared" si="10"/>
        <v>45229.508</v>
      </c>
      <c r="H44" s="38">
        <f t="shared" si="11"/>
        <v>2001</v>
      </c>
      <c r="I44" s="47" t="s">
        <v>141</v>
      </c>
      <c r="J44" s="48" t="s">
        <v>142</v>
      </c>
      <c r="K44" s="47">
        <v>2001</v>
      </c>
      <c r="L44" s="47" t="s">
        <v>143</v>
      </c>
      <c r="M44" s="48" t="s">
        <v>73</v>
      </c>
      <c r="N44" s="48"/>
      <c r="O44" s="49" t="s">
        <v>74</v>
      </c>
      <c r="P44" s="49" t="s">
        <v>75</v>
      </c>
    </row>
    <row r="45" spans="1:16" ht="12.75" customHeight="1" thickBot="1" x14ac:dyDescent="0.25">
      <c r="A45" s="38" t="str">
        <f t="shared" si="6"/>
        <v> MVS 12.113 </v>
      </c>
      <c r="B45" s="2" t="str">
        <f t="shared" si="7"/>
        <v>I</v>
      </c>
      <c r="C45" s="38">
        <f t="shared" si="8"/>
        <v>45238.542999999998</v>
      </c>
      <c r="D45" s="17" t="str">
        <f t="shared" si="9"/>
        <v>vis</v>
      </c>
      <c r="E45" s="46">
        <f>VLOOKUP(C45,Active!C$21:E$973,3,FALSE)</f>
        <v>2003.9911609349822</v>
      </c>
      <c r="F45" s="2" t="s">
        <v>67</v>
      </c>
      <c r="G45" s="17" t="str">
        <f t="shared" si="10"/>
        <v>45238.543</v>
      </c>
      <c r="H45" s="38">
        <f t="shared" si="11"/>
        <v>2004</v>
      </c>
      <c r="I45" s="47" t="s">
        <v>144</v>
      </c>
      <c r="J45" s="48" t="s">
        <v>145</v>
      </c>
      <c r="K45" s="47">
        <v>2004</v>
      </c>
      <c r="L45" s="47" t="s">
        <v>146</v>
      </c>
      <c r="M45" s="48" t="s">
        <v>73</v>
      </c>
      <c r="N45" s="48"/>
      <c r="O45" s="49" t="s">
        <v>74</v>
      </c>
      <c r="P45" s="49" t="s">
        <v>75</v>
      </c>
    </row>
    <row r="46" spans="1:16" ht="12.75" customHeight="1" thickBot="1" x14ac:dyDescent="0.25">
      <c r="A46" s="38" t="str">
        <f t="shared" si="6"/>
        <v> VSSC 60.22 </v>
      </c>
      <c r="B46" s="2" t="str">
        <f t="shared" si="7"/>
        <v>I</v>
      </c>
      <c r="C46" s="38">
        <f t="shared" si="8"/>
        <v>45681.525000000001</v>
      </c>
      <c r="D46" s="17" t="str">
        <f t="shared" si="9"/>
        <v>vis</v>
      </c>
      <c r="E46" s="46">
        <f>VLOOKUP(C46,Active!C$21:E$973,3,FALSE)</f>
        <v>2155.9214224542861</v>
      </c>
      <c r="F46" s="2" t="s">
        <v>67</v>
      </c>
      <c r="G46" s="17" t="str">
        <f t="shared" si="10"/>
        <v>45681.525</v>
      </c>
      <c r="H46" s="38">
        <f t="shared" si="11"/>
        <v>2156</v>
      </c>
      <c r="I46" s="47" t="s">
        <v>147</v>
      </c>
      <c r="J46" s="48" t="s">
        <v>148</v>
      </c>
      <c r="K46" s="47">
        <v>2156</v>
      </c>
      <c r="L46" s="47" t="s">
        <v>149</v>
      </c>
      <c r="M46" s="48" t="s">
        <v>150</v>
      </c>
      <c r="N46" s="48"/>
      <c r="O46" s="49" t="s">
        <v>151</v>
      </c>
      <c r="P46" s="49" t="s">
        <v>152</v>
      </c>
    </row>
    <row r="47" spans="1:16" ht="12.75" customHeight="1" thickBot="1" x14ac:dyDescent="0.25">
      <c r="A47" s="38" t="str">
        <f t="shared" si="6"/>
        <v> MVS 12.113 </v>
      </c>
      <c r="B47" s="2" t="str">
        <f t="shared" si="7"/>
        <v>I</v>
      </c>
      <c r="C47" s="38">
        <f t="shared" si="8"/>
        <v>46002.44</v>
      </c>
      <c r="D47" s="17" t="str">
        <f t="shared" si="9"/>
        <v>vis</v>
      </c>
      <c r="E47" s="46">
        <f>VLOOKUP(C47,Active!C$21:E$973,3,FALSE)</f>
        <v>2265.9861652101249</v>
      </c>
      <c r="F47" s="2" t="s">
        <v>67</v>
      </c>
      <c r="G47" s="17" t="str">
        <f t="shared" si="10"/>
        <v>46002.440</v>
      </c>
      <c r="H47" s="38">
        <f t="shared" si="11"/>
        <v>2266</v>
      </c>
      <c r="I47" s="47" t="s">
        <v>153</v>
      </c>
      <c r="J47" s="48" t="s">
        <v>154</v>
      </c>
      <c r="K47" s="47">
        <v>2266</v>
      </c>
      <c r="L47" s="47" t="s">
        <v>155</v>
      </c>
      <c r="M47" s="48" t="s">
        <v>73</v>
      </c>
      <c r="N47" s="48"/>
      <c r="O47" s="49" t="s">
        <v>74</v>
      </c>
      <c r="P47" s="49" t="s">
        <v>75</v>
      </c>
    </row>
    <row r="48" spans="1:16" ht="12.75" customHeight="1" thickBot="1" x14ac:dyDescent="0.25">
      <c r="A48" s="38" t="str">
        <f t="shared" si="6"/>
        <v> VSSC 61.19 </v>
      </c>
      <c r="B48" s="2" t="str">
        <f t="shared" si="7"/>
        <v>I</v>
      </c>
      <c r="C48" s="38">
        <f t="shared" si="8"/>
        <v>46066.41</v>
      </c>
      <c r="D48" s="17" t="str">
        <f t="shared" si="9"/>
        <v>vis</v>
      </c>
      <c r="E48" s="46">
        <f>VLOOKUP(C48,Active!C$21:E$973,3,FALSE)</f>
        <v>2287.9260608026998</v>
      </c>
      <c r="F48" s="2" t="s">
        <v>67</v>
      </c>
      <c r="G48" s="17" t="str">
        <f t="shared" si="10"/>
        <v>46066.410</v>
      </c>
      <c r="H48" s="38">
        <f t="shared" si="11"/>
        <v>2288</v>
      </c>
      <c r="I48" s="47" t="s">
        <v>156</v>
      </c>
      <c r="J48" s="48" t="s">
        <v>157</v>
      </c>
      <c r="K48" s="47">
        <v>2288</v>
      </c>
      <c r="L48" s="47" t="s">
        <v>158</v>
      </c>
      <c r="M48" s="48" t="s">
        <v>150</v>
      </c>
      <c r="N48" s="48"/>
      <c r="O48" s="49" t="s">
        <v>151</v>
      </c>
      <c r="P48" s="49" t="s">
        <v>159</v>
      </c>
    </row>
    <row r="49" spans="1:16" ht="12.75" customHeight="1" thickBot="1" x14ac:dyDescent="0.25">
      <c r="A49" s="38" t="str">
        <f t="shared" si="6"/>
        <v> MVS 12.113 </v>
      </c>
      <c r="B49" s="2" t="str">
        <f t="shared" si="7"/>
        <v>I</v>
      </c>
      <c r="C49" s="38">
        <f t="shared" si="8"/>
        <v>46110.273999999998</v>
      </c>
      <c r="D49" s="17" t="str">
        <f t="shared" si="9"/>
        <v>vis</v>
      </c>
      <c r="E49" s="46">
        <f>VLOOKUP(C49,Active!C$21:E$973,3,FALSE)</f>
        <v>2302.9701686700214</v>
      </c>
      <c r="F49" s="2" t="s">
        <v>67</v>
      </c>
      <c r="G49" s="17" t="str">
        <f t="shared" si="10"/>
        <v>46110.274</v>
      </c>
      <c r="H49" s="38">
        <f t="shared" si="11"/>
        <v>2303</v>
      </c>
      <c r="I49" s="47" t="s">
        <v>160</v>
      </c>
      <c r="J49" s="48" t="s">
        <v>161</v>
      </c>
      <c r="K49" s="47">
        <v>2303</v>
      </c>
      <c r="L49" s="47" t="s">
        <v>162</v>
      </c>
      <c r="M49" s="48" t="s">
        <v>73</v>
      </c>
      <c r="N49" s="48"/>
      <c r="O49" s="49" t="s">
        <v>74</v>
      </c>
      <c r="P49" s="49" t="s">
        <v>75</v>
      </c>
    </row>
    <row r="50" spans="1:16" ht="12.75" customHeight="1" thickBot="1" x14ac:dyDescent="0.25">
      <c r="A50" s="38" t="str">
        <f t="shared" si="6"/>
        <v> VSSC 68.33 </v>
      </c>
      <c r="B50" s="2" t="str">
        <f t="shared" si="7"/>
        <v>I</v>
      </c>
      <c r="C50" s="38">
        <f t="shared" si="8"/>
        <v>46136.389000000003</v>
      </c>
      <c r="D50" s="17" t="str">
        <f t="shared" si="9"/>
        <v>vis</v>
      </c>
      <c r="E50" s="46">
        <f>VLOOKUP(C50,Active!C$21:E$973,3,FALSE)</f>
        <v>2311.9268729595351</v>
      </c>
      <c r="F50" s="2" t="s">
        <v>67</v>
      </c>
      <c r="G50" s="17" t="str">
        <f t="shared" si="10"/>
        <v>46136.389</v>
      </c>
      <c r="H50" s="38">
        <f t="shared" si="11"/>
        <v>2312</v>
      </c>
      <c r="I50" s="47" t="s">
        <v>163</v>
      </c>
      <c r="J50" s="48" t="s">
        <v>164</v>
      </c>
      <c r="K50" s="47">
        <v>2312</v>
      </c>
      <c r="L50" s="47" t="s">
        <v>165</v>
      </c>
      <c r="M50" s="48" t="s">
        <v>150</v>
      </c>
      <c r="N50" s="48"/>
      <c r="O50" s="49" t="s">
        <v>151</v>
      </c>
      <c r="P50" s="49" t="s">
        <v>166</v>
      </c>
    </row>
    <row r="51" spans="1:16" ht="12.75" customHeight="1" thickBot="1" x14ac:dyDescent="0.25">
      <c r="A51" s="38" t="str">
        <f t="shared" si="6"/>
        <v> MVS 12.113 </v>
      </c>
      <c r="B51" s="2" t="str">
        <f t="shared" si="7"/>
        <v>I</v>
      </c>
      <c r="C51" s="38">
        <f t="shared" si="8"/>
        <v>46713.548000000003</v>
      </c>
      <c r="D51" s="17" t="str">
        <f t="shared" si="9"/>
        <v>vis</v>
      </c>
      <c r="E51" s="46">
        <f>VLOOKUP(C51,Active!C$21:E$973,3,FALSE)</f>
        <v>2509.8760397613896</v>
      </c>
      <c r="F51" s="2" t="s">
        <v>67</v>
      </c>
      <c r="G51" s="17" t="str">
        <f t="shared" si="10"/>
        <v>46713.548</v>
      </c>
      <c r="H51" s="38">
        <f t="shared" si="11"/>
        <v>2510</v>
      </c>
      <c r="I51" s="47" t="s">
        <v>167</v>
      </c>
      <c r="J51" s="48" t="s">
        <v>168</v>
      </c>
      <c r="K51" s="47">
        <v>2510</v>
      </c>
      <c r="L51" s="47" t="s">
        <v>169</v>
      </c>
      <c r="M51" s="48" t="s">
        <v>73</v>
      </c>
      <c r="N51" s="48"/>
      <c r="O51" s="49" t="s">
        <v>74</v>
      </c>
      <c r="P51" s="49" t="s">
        <v>75</v>
      </c>
    </row>
    <row r="52" spans="1:16" ht="12.75" customHeight="1" thickBot="1" x14ac:dyDescent="0.25">
      <c r="A52" s="38" t="str">
        <f t="shared" si="6"/>
        <v> MVS 12.113 </v>
      </c>
      <c r="B52" s="2" t="str">
        <f t="shared" si="7"/>
        <v>I</v>
      </c>
      <c r="C52" s="38">
        <f t="shared" si="8"/>
        <v>46763.396999999997</v>
      </c>
      <c r="D52" s="17" t="str">
        <f t="shared" si="9"/>
        <v>vis</v>
      </c>
      <c r="E52" s="46">
        <f>VLOOKUP(C52,Active!C$21:E$973,3,FALSE)</f>
        <v>2526.9728328736942</v>
      </c>
      <c r="F52" s="2" t="s">
        <v>67</v>
      </c>
      <c r="G52" s="17" t="str">
        <f t="shared" si="10"/>
        <v>46763.397</v>
      </c>
      <c r="H52" s="38">
        <f t="shared" si="11"/>
        <v>2527</v>
      </c>
      <c r="I52" s="47" t="s">
        <v>170</v>
      </c>
      <c r="J52" s="48" t="s">
        <v>171</v>
      </c>
      <c r="K52" s="47">
        <v>2527</v>
      </c>
      <c r="L52" s="47" t="s">
        <v>172</v>
      </c>
      <c r="M52" s="48" t="s">
        <v>73</v>
      </c>
      <c r="N52" s="48"/>
      <c r="O52" s="49" t="s">
        <v>74</v>
      </c>
      <c r="P52" s="49" t="s">
        <v>75</v>
      </c>
    </row>
    <row r="53" spans="1:16" ht="12.75" customHeight="1" thickBot="1" x14ac:dyDescent="0.25">
      <c r="A53" s="38" t="str">
        <f t="shared" si="6"/>
        <v> MVS 12.113 </v>
      </c>
      <c r="B53" s="2" t="str">
        <f t="shared" si="7"/>
        <v>I</v>
      </c>
      <c r="C53" s="38">
        <f t="shared" si="8"/>
        <v>46827.256000000001</v>
      </c>
      <c r="D53" s="17" t="str">
        <f t="shared" si="9"/>
        <v>vis</v>
      </c>
      <c r="E53" s="46">
        <f>VLOOKUP(C53,Active!C$21:E$973,3,FALSE)</f>
        <v>2548.8746586146085</v>
      </c>
      <c r="F53" s="2" t="s">
        <v>67</v>
      </c>
      <c r="G53" s="17" t="str">
        <f t="shared" si="10"/>
        <v>46827.256</v>
      </c>
      <c r="H53" s="38">
        <f t="shared" si="11"/>
        <v>2549</v>
      </c>
      <c r="I53" s="47" t="s">
        <v>173</v>
      </c>
      <c r="J53" s="48" t="s">
        <v>174</v>
      </c>
      <c r="K53" s="47">
        <v>2549</v>
      </c>
      <c r="L53" s="47" t="s">
        <v>175</v>
      </c>
      <c r="M53" s="48" t="s">
        <v>73</v>
      </c>
      <c r="N53" s="48"/>
      <c r="O53" s="49" t="s">
        <v>74</v>
      </c>
      <c r="P53" s="49" t="s">
        <v>75</v>
      </c>
    </row>
    <row r="54" spans="1:16" ht="12.75" customHeight="1" thickBot="1" x14ac:dyDescent="0.25">
      <c r="A54" s="38" t="str">
        <f t="shared" si="6"/>
        <v> BRNO 30 </v>
      </c>
      <c r="B54" s="2" t="str">
        <f t="shared" si="7"/>
        <v>I</v>
      </c>
      <c r="C54" s="38">
        <f t="shared" si="8"/>
        <v>47063.559000000001</v>
      </c>
      <c r="D54" s="17" t="str">
        <f t="shared" si="9"/>
        <v>vis</v>
      </c>
      <c r="E54" s="46">
        <f>VLOOKUP(C54,Active!C$21:E$973,3,FALSE)</f>
        <v>2629.9198852554105</v>
      </c>
      <c r="F54" s="2" t="s">
        <v>67</v>
      </c>
      <c r="G54" s="17" t="str">
        <f t="shared" si="10"/>
        <v>47063.559</v>
      </c>
      <c r="H54" s="38">
        <f t="shared" si="11"/>
        <v>2630</v>
      </c>
      <c r="I54" s="47" t="s">
        <v>176</v>
      </c>
      <c r="J54" s="48" t="s">
        <v>177</v>
      </c>
      <c r="K54" s="47">
        <v>2630</v>
      </c>
      <c r="L54" s="47" t="s">
        <v>178</v>
      </c>
      <c r="M54" s="48" t="s">
        <v>150</v>
      </c>
      <c r="N54" s="48"/>
      <c r="O54" s="49" t="s">
        <v>179</v>
      </c>
      <c r="P54" s="49" t="s">
        <v>180</v>
      </c>
    </row>
    <row r="55" spans="1:16" ht="12.75" customHeight="1" thickBot="1" x14ac:dyDescent="0.25">
      <c r="A55" s="38" t="str">
        <f t="shared" si="6"/>
        <v> MVS 12.113 </v>
      </c>
      <c r="B55" s="2" t="str">
        <f t="shared" si="7"/>
        <v>I</v>
      </c>
      <c r="C55" s="38">
        <f t="shared" si="8"/>
        <v>47174.34</v>
      </c>
      <c r="D55" s="17" t="str">
        <f t="shared" si="9"/>
        <v>vis</v>
      </c>
      <c r="E55" s="46">
        <f>VLOOKUP(C55,Active!C$21:E$973,3,FALSE)</f>
        <v>2667.9146261283336</v>
      </c>
      <c r="F55" s="2" t="s">
        <v>67</v>
      </c>
      <c r="G55" s="17" t="str">
        <f t="shared" si="10"/>
        <v>47174.34</v>
      </c>
      <c r="H55" s="38">
        <f t="shared" si="11"/>
        <v>2668</v>
      </c>
      <c r="I55" s="47" t="s">
        <v>186</v>
      </c>
      <c r="J55" s="48" t="s">
        <v>187</v>
      </c>
      <c r="K55" s="47">
        <v>2668</v>
      </c>
      <c r="L55" s="47" t="s">
        <v>188</v>
      </c>
      <c r="M55" s="48" t="s">
        <v>73</v>
      </c>
      <c r="N55" s="48"/>
      <c r="O55" s="49" t="s">
        <v>74</v>
      </c>
      <c r="P55" s="49" t="s">
        <v>75</v>
      </c>
    </row>
    <row r="56" spans="1:16" ht="12.75" customHeight="1" thickBot="1" x14ac:dyDescent="0.25">
      <c r="A56" s="38" t="str">
        <f t="shared" si="6"/>
        <v> BRNO 30 </v>
      </c>
      <c r="B56" s="2" t="str">
        <f t="shared" si="7"/>
        <v>I</v>
      </c>
      <c r="C56" s="38">
        <f t="shared" si="8"/>
        <v>47827.432999999997</v>
      </c>
      <c r="D56" s="17" t="str">
        <f t="shared" si="9"/>
        <v>vis</v>
      </c>
      <c r="E56" s="46">
        <f>VLOOKUP(C56,Active!C$21:E$973,3,FALSE)</f>
        <v>2891.9070011829094</v>
      </c>
      <c r="F56" s="2" t="s">
        <v>67</v>
      </c>
      <c r="G56" s="17" t="str">
        <f t="shared" si="10"/>
        <v>47827.433</v>
      </c>
      <c r="H56" s="38">
        <f t="shared" si="11"/>
        <v>2892</v>
      </c>
      <c r="I56" s="47" t="s">
        <v>193</v>
      </c>
      <c r="J56" s="48" t="s">
        <v>194</v>
      </c>
      <c r="K56" s="47">
        <v>2892</v>
      </c>
      <c r="L56" s="47" t="s">
        <v>195</v>
      </c>
      <c r="M56" s="48" t="s">
        <v>150</v>
      </c>
      <c r="N56" s="48"/>
      <c r="O56" s="49" t="s">
        <v>196</v>
      </c>
      <c r="P56" s="49" t="s">
        <v>180</v>
      </c>
    </row>
    <row r="57" spans="1:16" ht="12.75" customHeight="1" thickBot="1" x14ac:dyDescent="0.25">
      <c r="A57" s="38" t="str">
        <f t="shared" si="6"/>
        <v> BRNO 31 </v>
      </c>
      <c r="B57" s="2" t="str">
        <f t="shared" si="7"/>
        <v>I</v>
      </c>
      <c r="C57" s="38">
        <f t="shared" si="8"/>
        <v>48153.987999999998</v>
      </c>
      <c r="D57" s="17" t="str">
        <f t="shared" si="9"/>
        <v>vis</v>
      </c>
      <c r="E57" s="46">
        <f>VLOOKUP(C57,Active!C$21:E$973,3,FALSE)</f>
        <v>3003.9061039691082</v>
      </c>
      <c r="F57" s="2" t="s">
        <v>67</v>
      </c>
      <c r="G57" s="17" t="str">
        <f t="shared" si="10"/>
        <v>48153.988</v>
      </c>
      <c r="H57" s="38">
        <f t="shared" si="11"/>
        <v>3004</v>
      </c>
      <c r="I57" s="47" t="s">
        <v>197</v>
      </c>
      <c r="J57" s="48" t="s">
        <v>198</v>
      </c>
      <c r="K57" s="47">
        <v>3004</v>
      </c>
      <c r="L57" s="47" t="s">
        <v>199</v>
      </c>
      <c r="M57" s="48" t="s">
        <v>150</v>
      </c>
      <c r="N57" s="48"/>
      <c r="O57" s="49" t="s">
        <v>179</v>
      </c>
      <c r="P57" s="49" t="s">
        <v>200</v>
      </c>
    </row>
    <row r="58" spans="1:16" ht="12.75" customHeight="1" thickBot="1" x14ac:dyDescent="0.25">
      <c r="A58" s="38" t="str">
        <f t="shared" si="6"/>
        <v> MVS 12.113 </v>
      </c>
      <c r="B58" s="2" t="str">
        <f t="shared" si="7"/>
        <v>I</v>
      </c>
      <c r="C58" s="38">
        <f t="shared" si="8"/>
        <v>48273.385000000002</v>
      </c>
      <c r="D58" s="17" t="str">
        <f t="shared" si="9"/>
        <v>vis</v>
      </c>
      <c r="E58" s="46">
        <f>VLOOKUP(C58,Active!C$21:E$973,3,FALSE)</f>
        <v>3044.8558884628819</v>
      </c>
      <c r="F58" s="2" t="s">
        <v>67</v>
      </c>
      <c r="G58" s="17" t="str">
        <f t="shared" si="10"/>
        <v>48273.385</v>
      </c>
      <c r="H58" s="38">
        <f t="shared" si="11"/>
        <v>3045</v>
      </c>
      <c r="I58" s="47" t="s">
        <v>201</v>
      </c>
      <c r="J58" s="48" t="s">
        <v>202</v>
      </c>
      <c r="K58" s="47">
        <v>3045</v>
      </c>
      <c r="L58" s="47" t="s">
        <v>203</v>
      </c>
      <c r="M58" s="48" t="s">
        <v>73</v>
      </c>
      <c r="N58" s="48"/>
      <c r="O58" s="49" t="s">
        <v>74</v>
      </c>
      <c r="P58" s="49" t="s">
        <v>75</v>
      </c>
    </row>
    <row r="59" spans="1:16" ht="12.75" customHeight="1" thickBot="1" x14ac:dyDescent="0.25">
      <c r="A59" s="38" t="str">
        <f t="shared" si="6"/>
        <v> BBS 123 </v>
      </c>
      <c r="B59" s="2" t="str">
        <f t="shared" si="7"/>
        <v>I</v>
      </c>
      <c r="C59" s="38">
        <f t="shared" si="8"/>
        <v>50897.542999999998</v>
      </c>
      <c r="D59" s="17" t="str">
        <f t="shared" si="9"/>
        <v>vis</v>
      </c>
      <c r="E59" s="46">
        <f>VLOOKUP(C59,Active!C$21:E$973,3,FALSE)</f>
        <v>3944.8676523900153</v>
      </c>
      <c r="F59" s="2" t="s">
        <v>67</v>
      </c>
      <c r="G59" s="17" t="str">
        <f t="shared" si="10"/>
        <v>50897.543</v>
      </c>
      <c r="H59" s="38">
        <f t="shared" si="11"/>
        <v>3945</v>
      </c>
      <c r="I59" s="47" t="s">
        <v>232</v>
      </c>
      <c r="J59" s="48" t="s">
        <v>233</v>
      </c>
      <c r="K59" s="47">
        <v>3945</v>
      </c>
      <c r="L59" s="47" t="s">
        <v>234</v>
      </c>
      <c r="M59" s="48" t="s">
        <v>150</v>
      </c>
      <c r="N59" s="48"/>
      <c r="O59" s="49" t="s">
        <v>235</v>
      </c>
      <c r="P59" s="49" t="s">
        <v>236</v>
      </c>
    </row>
    <row r="60" spans="1:16" ht="12.75" customHeight="1" thickBot="1" x14ac:dyDescent="0.25">
      <c r="A60" s="38" t="str">
        <f t="shared" si="6"/>
        <v> BBS 123 </v>
      </c>
      <c r="B60" s="2" t="str">
        <f t="shared" si="7"/>
        <v>I</v>
      </c>
      <c r="C60" s="38">
        <f t="shared" si="8"/>
        <v>51136.63</v>
      </c>
      <c r="D60" s="17" t="str">
        <f t="shared" si="9"/>
        <v>vis</v>
      </c>
      <c r="E60" s="46">
        <f>VLOOKUP(C60,Active!C$21:E$973,3,FALSE)</f>
        <v>4026.86771206708</v>
      </c>
      <c r="F60" s="2" t="s">
        <v>67</v>
      </c>
      <c r="G60" s="17" t="str">
        <f t="shared" si="10"/>
        <v>51136.630</v>
      </c>
      <c r="H60" s="38">
        <f t="shared" si="11"/>
        <v>4027</v>
      </c>
      <c r="I60" s="47" t="s">
        <v>237</v>
      </c>
      <c r="J60" s="48" t="s">
        <v>238</v>
      </c>
      <c r="K60" s="47">
        <v>4027</v>
      </c>
      <c r="L60" s="47" t="s">
        <v>234</v>
      </c>
      <c r="M60" s="48" t="s">
        <v>150</v>
      </c>
      <c r="N60" s="48"/>
      <c r="O60" s="49" t="s">
        <v>235</v>
      </c>
      <c r="P60" s="49" t="s">
        <v>236</v>
      </c>
    </row>
    <row r="61" spans="1:16" ht="12.75" customHeight="1" thickBot="1" x14ac:dyDescent="0.25">
      <c r="A61" s="38" t="str">
        <f t="shared" si="6"/>
        <v> BBS 123 </v>
      </c>
      <c r="B61" s="2" t="str">
        <f t="shared" si="7"/>
        <v>I</v>
      </c>
      <c r="C61" s="38">
        <f t="shared" si="8"/>
        <v>51139.548000000003</v>
      </c>
      <c r="D61" s="17" t="str">
        <f t="shared" si="9"/>
        <v>vis</v>
      </c>
      <c r="E61" s="46">
        <f>VLOOKUP(C61,Active!C$21:E$973,3,FALSE)</f>
        <v>4027.8685033026472</v>
      </c>
      <c r="F61" s="2" t="s">
        <v>67</v>
      </c>
      <c r="G61" s="17" t="str">
        <f t="shared" si="10"/>
        <v>51139.548</v>
      </c>
      <c r="H61" s="38">
        <f t="shared" si="11"/>
        <v>4028</v>
      </c>
      <c r="I61" s="47" t="s">
        <v>239</v>
      </c>
      <c r="J61" s="48" t="s">
        <v>240</v>
      </c>
      <c r="K61" s="47">
        <v>4028</v>
      </c>
      <c r="L61" s="47" t="s">
        <v>241</v>
      </c>
      <c r="M61" s="48" t="s">
        <v>150</v>
      </c>
      <c r="N61" s="48"/>
      <c r="O61" s="49" t="s">
        <v>235</v>
      </c>
      <c r="P61" s="49" t="s">
        <v>236</v>
      </c>
    </row>
    <row r="62" spans="1:16" ht="12.75" customHeight="1" thickBot="1" x14ac:dyDescent="0.25">
      <c r="A62" s="38" t="str">
        <f t="shared" si="6"/>
        <v> BBS 123 </v>
      </c>
      <c r="B62" s="2" t="str">
        <f t="shared" si="7"/>
        <v>I</v>
      </c>
      <c r="C62" s="38">
        <f t="shared" si="8"/>
        <v>51486.538999999997</v>
      </c>
      <c r="D62" s="17" t="str">
        <f t="shared" si="9"/>
        <v>vis</v>
      </c>
      <c r="E62" s="46">
        <f>VLOOKUP(C62,Active!C$21:E$973,3,FALSE)</f>
        <v>4146.8765744541688</v>
      </c>
      <c r="F62" s="2" t="s">
        <v>67</v>
      </c>
      <c r="G62" s="17" t="str">
        <f t="shared" si="10"/>
        <v>51486.539</v>
      </c>
      <c r="H62" s="38">
        <f t="shared" si="11"/>
        <v>4147</v>
      </c>
      <c r="I62" s="47" t="s">
        <v>242</v>
      </c>
      <c r="J62" s="48" t="s">
        <v>243</v>
      </c>
      <c r="K62" s="47">
        <v>4147</v>
      </c>
      <c r="L62" s="47" t="s">
        <v>244</v>
      </c>
      <c r="M62" s="48" t="s">
        <v>150</v>
      </c>
      <c r="N62" s="48"/>
      <c r="O62" s="49" t="s">
        <v>235</v>
      </c>
      <c r="P62" s="49" t="s">
        <v>236</v>
      </c>
    </row>
    <row r="63" spans="1:16" ht="12.75" customHeight="1" thickBot="1" x14ac:dyDescent="0.25">
      <c r="A63" s="38" t="str">
        <f t="shared" si="6"/>
        <v> BBS 123 </v>
      </c>
      <c r="B63" s="2" t="str">
        <f t="shared" si="7"/>
        <v>I</v>
      </c>
      <c r="C63" s="38">
        <f t="shared" si="8"/>
        <v>51521.536</v>
      </c>
      <c r="D63" s="17" t="str">
        <f t="shared" si="9"/>
        <v>vis</v>
      </c>
      <c r="E63" s="46">
        <f>VLOOKUP(C63,Active!C$21:E$973,3,FALSE)</f>
        <v>4158.8795528198625</v>
      </c>
      <c r="F63" s="2" t="s">
        <v>67</v>
      </c>
      <c r="G63" s="17" t="str">
        <f t="shared" si="10"/>
        <v>51521.536</v>
      </c>
      <c r="H63" s="38">
        <f t="shared" si="11"/>
        <v>4159</v>
      </c>
      <c r="I63" s="47" t="s">
        <v>245</v>
      </c>
      <c r="J63" s="48" t="s">
        <v>246</v>
      </c>
      <c r="K63" s="47">
        <v>4159</v>
      </c>
      <c r="L63" s="47" t="s">
        <v>247</v>
      </c>
      <c r="M63" s="48" t="s">
        <v>150</v>
      </c>
      <c r="N63" s="48"/>
      <c r="O63" s="49" t="s">
        <v>235</v>
      </c>
      <c r="P63" s="49" t="s">
        <v>236</v>
      </c>
    </row>
    <row r="64" spans="1:16" ht="12.75" customHeight="1" thickBot="1" x14ac:dyDescent="0.25">
      <c r="A64" s="38" t="str">
        <f t="shared" si="6"/>
        <v> BBS 127 </v>
      </c>
      <c r="B64" s="2" t="str">
        <f t="shared" si="7"/>
        <v>I</v>
      </c>
      <c r="C64" s="38">
        <f t="shared" si="8"/>
        <v>52323.300199999998</v>
      </c>
      <c r="D64" s="17" t="str">
        <f t="shared" si="9"/>
        <v>vis</v>
      </c>
      <c r="E64" s="46">
        <f>VLOOKUP(C64,Active!C$21:E$973,3,FALSE)</f>
        <v>4433.861932652032</v>
      </c>
      <c r="F64" s="2" t="s">
        <v>67</v>
      </c>
      <c r="G64" s="17" t="str">
        <f t="shared" si="10"/>
        <v>52323.3002</v>
      </c>
      <c r="H64" s="38">
        <f t="shared" si="11"/>
        <v>4434</v>
      </c>
      <c r="I64" s="47" t="s">
        <v>248</v>
      </c>
      <c r="J64" s="48" t="s">
        <v>249</v>
      </c>
      <c r="K64" s="47">
        <v>4434</v>
      </c>
      <c r="L64" s="47" t="s">
        <v>250</v>
      </c>
      <c r="M64" s="48" t="s">
        <v>212</v>
      </c>
      <c r="N64" s="48" t="s">
        <v>213</v>
      </c>
      <c r="O64" s="49" t="s">
        <v>251</v>
      </c>
      <c r="P64" s="49" t="s">
        <v>252</v>
      </c>
    </row>
    <row r="65" spans="1:16" ht="12.75" customHeight="1" thickBot="1" x14ac:dyDescent="0.25">
      <c r="A65" s="38" t="str">
        <f t="shared" si="6"/>
        <v>BAVM 193 </v>
      </c>
      <c r="B65" s="2" t="str">
        <f t="shared" si="7"/>
        <v>I</v>
      </c>
      <c r="C65" s="38">
        <f t="shared" si="8"/>
        <v>54390.465100000001</v>
      </c>
      <c r="D65" s="17" t="str">
        <f t="shared" si="9"/>
        <v>vis</v>
      </c>
      <c r="E65" s="46">
        <f>VLOOKUP(C65,Active!C$21:E$973,3,FALSE)</f>
        <v>5142.840861503596</v>
      </c>
      <c r="F65" s="2" t="s">
        <v>67</v>
      </c>
      <c r="G65" s="17" t="str">
        <f t="shared" si="10"/>
        <v>54390.4651</v>
      </c>
      <c r="H65" s="38">
        <f t="shared" si="11"/>
        <v>5143</v>
      </c>
      <c r="I65" s="47" t="s">
        <v>258</v>
      </c>
      <c r="J65" s="48" t="s">
        <v>259</v>
      </c>
      <c r="K65" s="47">
        <v>5143</v>
      </c>
      <c r="L65" s="47" t="s">
        <v>260</v>
      </c>
      <c r="M65" s="48" t="s">
        <v>261</v>
      </c>
      <c r="N65" s="48" t="s">
        <v>262</v>
      </c>
      <c r="O65" s="49" t="s">
        <v>263</v>
      </c>
      <c r="P65" s="50" t="s">
        <v>264</v>
      </c>
    </row>
    <row r="66" spans="1:16" x14ac:dyDescent="0.2">
      <c r="B66" s="2"/>
      <c r="F66" s="2"/>
    </row>
    <row r="67" spans="1:16" x14ac:dyDescent="0.2">
      <c r="B67" s="2"/>
      <c r="F67" s="2"/>
    </row>
    <row r="68" spans="1:16" x14ac:dyDescent="0.2">
      <c r="B68" s="2"/>
      <c r="F68" s="2"/>
    </row>
    <row r="69" spans="1:16" x14ac:dyDescent="0.2">
      <c r="B69" s="2"/>
      <c r="F69" s="2"/>
    </row>
    <row r="70" spans="1:16" x14ac:dyDescent="0.2">
      <c r="B70" s="2"/>
      <c r="F70" s="2"/>
    </row>
    <row r="71" spans="1:16" x14ac:dyDescent="0.2">
      <c r="B71" s="2"/>
      <c r="F71" s="2"/>
    </row>
    <row r="72" spans="1:16" x14ac:dyDescent="0.2">
      <c r="B72" s="2"/>
      <c r="F72" s="2"/>
    </row>
    <row r="73" spans="1:16" x14ac:dyDescent="0.2">
      <c r="B73" s="2"/>
      <c r="F73" s="2"/>
    </row>
    <row r="74" spans="1:16" x14ac:dyDescent="0.2">
      <c r="B74" s="2"/>
      <c r="F74" s="2"/>
    </row>
    <row r="75" spans="1:16" x14ac:dyDescent="0.2">
      <c r="B75" s="2"/>
      <c r="F75" s="2"/>
    </row>
    <row r="76" spans="1:16" x14ac:dyDescent="0.2">
      <c r="B76" s="2"/>
      <c r="F76" s="2"/>
    </row>
    <row r="77" spans="1:16" x14ac:dyDescent="0.2">
      <c r="B77" s="2"/>
      <c r="F77" s="2"/>
    </row>
    <row r="78" spans="1:16" x14ac:dyDescent="0.2">
      <c r="B78" s="2"/>
      <c r="F78" s="2"/>
    </row>
    <row r="79" spans="1:16" x14ac:dyDescent="0.2">
      <c r="B79" s="2"/>
      <c r="F79" s="2"/>
    </row>
    <row r="80" spans="1:1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</sheetData>
  <phoneticPr fontId="7" type="noConversion"/>
  <hyperlinks>
    <hyperlink ref="P26" r:id="rId1" display="http://www.konkoly.hu/cgi-bin/IBVS?64" xr:uid="{00000000-0004-0000-0100-000000000000}"/>
    <hyperlink ref="P14" r:id="rId2" display="http://www.konkoly.hu/cgi-bin/IBVS?3877" xr:uid="{00000000-0004-0000-0100-000001000000}"/>
    <hyperlink ref="P19" r:id="rId3" display="http://www.konkoly.hu/cgi-bin/IBVS?5694" xr:uid="{00000000-0004-0000-0100-000002000000}"/>
    <hyperlink ref="P65" r:id="rId4" display="http://www.bav-astro.de/sfs/BAVM_link.php?BAVMnr=193" xr:uid="{00000000-0004-0000-0100-000003000000}"/>
    <hyperlink ref="P20" r:id="rId5" display="http://www.konkoly.hu/cgi-bin/IBVS?5894" xr:uid="{00000000-0004-0000-0100-000004000000}"/>
    <hyperlink ref="P21" r:id="rId6" display="http://www.konkoly.hu/cgi-bin/IBVS?5960" xr:uid="{00000000-0004-0000-0100-000005000000}"/>
    <hyperlink ref="P22" r:id="rId7" display="http://www.konkoly.hu/cgi-bin/IBVS?6093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2023-08-06T07:45:37Z</dcterms:modified>
</cp:coreProperties>
</file>