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69C51E2-FBE4-4A45-9607-25FE4896B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7" i="1" l="1"/>
  <c r="F67" i="1" s="1"/>
  <c r="G67" i="1" s="1"/>
  <c r="K67" i="1" s="1"/>
  <c r="Q67" i="1"/>
  <c r="E68" i="1"/>
  <c r="F68" i="1"/>
  <c r="G68" i="1" s="1"/>
  <c r="K68" i="1" s="1"/>
  <c r="Q68" i="1"/>
  <c r="Q64" i="1"/>
  <c r="Q65" i="1"/>
  <c r="Q66" i="1"/>
  <c r="E62" i="1"/>
  <c r="F62" i="1" s="1"/>
  <c r="G62" i="1" s="1"/>
  <c r="K62" i="1" s="1"/>
  <c r="Q62" i="1"/>
  <c r="E63" i="1"/>
  <c r="F63" i="1" s="1"/>
  <c r="G63" i="1" s="1"/>
  <c r="K63" i="1" s="1"/>
  <c r="Q63" i="1"/>
  <c r="C7" i="1"/>
  <c r="E64" i="1" s="1"/>
  <c r="F64" i="1" s="1"/>
  <c r="G64" i="1" s="1"/>
  <c r="K64" i="1" s="1"/>
  <c r="C8" i="1"/>
  <c r="C9" i="1"/>
  <c r="D9" i="1"/>
  <c r="F16" i="1"/>
  <c r="F17" i="1" s="1"/>
  <c r="C17" i="1"/>
  <c r="E21" i="1"/>
  <c r="F21" i="1" s="1"/>
  <c r="U21" i="1" s="1"/>
  <c r="Q21" i="1"/>
  <c r="E22" i="1"/>
  <c r="F22" i="1" s="1"/>
  <c r="U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E36" i="2" s="1"/>
  <c r="F25" i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/>
  <c r="G28" i="1"/>
  <c r="H28" i="1" s="1"/>
  <c r="Q28" i="1"/>
  <c r="E29" i="1"/>
  <c r="F29" i="1" s="1"/>
  <c r="G29" i="1" s="1"/>
  <c r="H29" i="1" s="1"/>
  <c r="Q29" i="1"/>
  <c r="E30" i="1"/>
  <c r="F30" i="1"/>
  <c r="U30" i="1" s="1"/>
  <c r="Q30" i="1"/>
  <c r="E31" i="1"/>
  <c r="E42" i="2" s="1"/>
  <c r="Q31" i="1"/>
  <c r="E32" i="1"/>
  <c r="F32" i="1" s="1"/>
  <c r="G32" i="1" s="1"/>
  <c r="H32" i="1" s="1"/>
  <c r="Q32" i="1"/>
  <c r="E33" i="1"/>
  <c r="F33" i="1" s="1"/>
  <c r="G33" i="1" s="1"/>
  <c r="J33" i="1" s="1"/>
  <c r="Q33" i="1"/>
  <c r="E34" i="1"/>
  <c r="F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E15" i="2" s="1"/>
  <c r="F37" i="1"/>
  <c r="G37" i="1" s="1"/>
  <c r="K37" i="1" s="1"/>
  <c r="Q37" i="1"/>
  <c r="E38" i="1"/>
  <c r="F38" i="1"/>
  <c r="G38" i="1" s="1"/>
  <c r="K38" i="1" s="1"/>
  <c r="Q38" i="1"/>
  <c r="E39" i="1"/>
  <c r="E16" i="2" s="1"/>
  <c r="F39" i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E18" i="2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E20" i="2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E28" i="2" s="1"/>
  <c r="Q53" i="1"/>
  <c r="E54" i="1"/>
  <c r="E29" i="2" s="1"/>
  <c r="Q54" i="1"/>
  <c r="E55" i="1"/>
  <c r="F55" i="1" s="1"/>
  <c r="G55" i="1" s="1"/>
  <c r="K55" i="1" s="1"/>
  <c r="Q55" i="1"/>
  <c r="E56" i="1"/>
  <c r="F56" i="1"/>
  <c r="G56" i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A11" i="2"/>
  <c r="D11" i="2"/>
  <c r="G11" i="2"/>
  <c r="C11" i="2"/>
  <c r="H11" i="2"/>
  <c r="B11" i="2"/>
  <c r="A12" i="2"/>
  <c r="B12" i="2"/>
  <c r="D12" i="2"/>
  <c r="G12" i="2"/>
  <c r="C12" i="2"/>
  <c r="H12" i="2"/>
  <c r="A13" i="2"/>
  <c r="B13" i="2"/>
  <c r="C13" i="2"/>
  <c r="E13" i="2"/>
  <c r="D13" i="2"/>
  <c r="G13" i="2"/>
  <c r="H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D16" i="2"/>
  <c r="G16" i="2"/>
  <c r="C16" i="2"/>
  <c r="H16" i="2"/>
  <c r="B16" i="2"/>
  <c r="A17" i="2"/>
  <c r="D17" i="2"/>
  <c r="G17" i="2"/>
  <c r="C17" i="2"/>
  <c r="E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C21" i="2"/>
  <c r="E21" i="2"/>
  <c r="D21" i="2"/>
  <c r="G21" i="2"/>
  <c r="H21" i="2"/>
  <c r="A22" i="2"/>
  <c r="C22" i="2"/>
  <c r="D22" i="2"/>
  <c r="G22" i="2"/>
  <c r="H22" i="2"/>
  <c r="B22" i="2"/>
  <c r="A23" i="2"/>
  <c r="B23" i="2"/>
  <c r="D23" i="2"/>
  <c r="G23" i="2"/>
  <c r="C23" i="2"/>
  <c r="E23" i="2"/>
  <c r="H23" i="2"/>
  <c r="A24" i="2"/>
  <c r="D24" i="2"/>
  <c r="G24" i="2"/>
  <c r="C24" i="2"/>
  <c r="H24" i="2"/>
  <c r="B24" i="2"/>
  <c r="A25" i="2"/>
  <c r="D25" i="2"/>
  <c r="G25" i="2"/>
  <c r="C25" i="2"/>
  <c r="E25" i="2"/>
  <c r="H25" i="2"/>
  <c r="B25" i="2"/>
  <c r="A26" i="2"/>
  <c r="C26" i="2"/>
  <c r="D26" i="2"/>
  <c r="E26" i="2"/>
  <c r="G26" i="2"/>
  <c r="H26" i="2"/>
  <c r="B26" i="2"/>
  <c r="A27" i="2"/>
  <c r="B27" i="2"/>
  <c r="D27" i="2"/>
  <c r="G27" i="2"/>
  <c r="C27" i="2"/>
  <c r="H27" i="2"/>
  <c r="A28" i="2"/>
  <c r="B28" i="2"/>
  <c r="C28" i="2"/>
  <c r="D28" i="2"/>
  <c r="G28" i="2"/>
  <c r="H28" i="2"/>
  <c r="A29" i="2"/>
  <c r="B29" i="2"/>
  <c r="C29" i="2"/>
  <c r="D29" i="2"/>
  <c r="G29" i="2"/>
  <c r="H29" i="2"/>
  <c r="A30" i="2"/>
  <c r="C30" i="2"/>
  <c r="E30" i="2"/>
  <c r="D30" i="2"/>
  <c r="G30" i="2"/>
  <c r="H30" i="2"/>
  <c r="B30" i="2"/>
  <c r="A31" i="2"/>
  <c r="B31" i="2"/>
  <c r="D31" i="2"/>
  <c r="G31" i="2"/>
  <c r="C31" i="2"/>
  <c r="E31" i="2"/>
  <c r="H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B36" i="2"/>
  <c r="C36" i="2"/>
  <c r="D36" i="2"/>
  <c r="G36" i="2"/>
  <c r="H36" i="2"/>
  <c r="A37" i="2"/>
  <c r="B37" i="2"/>
  <c r="C37" i="2"/>
  <c r="E37" i="2"/>
  <c r="D37" i="2"/>
  <c r="G37" i="2"/>
  <c r="H37" i="2"/>
  <c r="A38" i="2"/>
  <c r="C38" i="2"/>
  <c r="E38" i="2"/>
  <c r="D38" i="2"/>
  <c r="G38" i="2"/>
  <c r="H38" i="2"/>
  <c r="B38" i="2"/>
  <c r="A39" i="2"/>
  <c r="B39" i="2"/>
  <c r="D39" i="2"/>
  <c r="G39" i="2"/>
  <c r="C39" i="2"/>
  <c r="E39" i="2"/>
  <c r="H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E43" i="2"/>
  <c r="H43" i="2"/>
  <c r="A44" i="2"/>
  <c r="B44" i="2"/>
  <c r="C44" i="2"/>
  <c r="D44" i="2"/>
  <c r="G44" i="2"/>
  <c r="H44" i="2"/>
  <c r="A45" i="2"/>
  <c r="B45" i="2"/>
  <c r="C45" i="2"/>
  <c r="E45" i="2"/>
  <c r="D45" i="2"/>
  <c r="G45" i="2"/>
  <c r="H45" i="2"/>
  <c r="A46" i="2"/>
  <c r="C46" i="2"/>
  <c r="E46" i="2"/>
  <c r="D46" i="2"/>
  <c r="G46" i="2"/>
  <c r="H46" i="2"/>
  <c r="B46" i="2"/>
  <c r="E44" i="2"/>
  <c r="F54" i="1" l="1"/>
  <c r="G54" i="1" s="1"/>
  <c r="K54" i="1" s="1"/>
  <c r="F31" i="1"/>
  <c r="U31" i="1" s="1"/>
  <c r="E11" i="2"/>
  <c r="E66" i="1"/>
  <c r="F66" i="1" s="1"/>
  <c r="G66" i="1" s="1"/>
  <c r="K66" i="1" s="1"/>
  <c r="E34" i="2"/>
  <c r="F53" i="1"/>
  <c r="G53" i="1" s="1"/>
  <c r="K53" i="1" s="1"/>
  <c r="E65" i="1"/>
  <c r="F65" i="1" s="1"/>
  <c r="G65" i="1" s="1"/>
  <c r="K65" i="1" s="1"/>
  <c r="E24" i="2"/>
  <c r="E22" i="2"/>
  <c r="F45" i="1"/>
  <c r="G45" i="1" s="1"/>
  <c r="J45" i="1" s="1"/>
  <c r="F42" i="1"/>
  <c r="G42" i="1" s="1"/>
  <c r="E35" i="2"/>
  <c r="E27" i="2"/>
  <c r="E12" i="2"/>
  <c r="E19" i="2"/>
  <c r="E14" i="2"/>
  <c r="C12" i="1"/>
  <c r="C11" i="1"/>
  <c r="O68" i="1" l="1"/>
  <c r="O67" i="1"/>
  <c r="O66" i="1"/>
  <c r="O34" i="1"/>
  <c r="O45" i="1"/>
  <c r="O55" i="1"/>
  <c r="O62" i="1"/>
  <c r="O48" i="1"/>
  <c r="O65" i="1"/>
  <c r="O42" i="1"/>
  <c r="O52" i="1"/>
  <c r="O46" i="1"/>
  <c r="O36" i="1"/>
  <c r="O21" i="1"/>
  <c r="O64" i="1"/>
  <c r="O23" i="1"/>
  <c r="O56" i="1"/>
  <c r="O37" i="1"/>
  <c r="O25" i="1"/>
  <c r="O51" i="1"/>
  <c r="O28" i="1"/>
  <c r="O27" i="1"/>
  <c r="O35" i="1"/>
  <c r="O41" i="1"/>
  <c r="O31" i="1"/>
  <c r="O29" i="1"/>
  <c r="O44" i="1"/>
  <c r="O22" i="1"/>
  <c r="O43" i="1"/>
  <c r="O60" i="1"/>
  <c r="O39" i="1"/>
  <c r="O26" i="1"/>
  <c r="O54" i="1"/>
  <c r="O38" i="1"/>
  <c r="O53" i="1"/>
  <c r="O33" i="1"/>
  <c r="O49" i="1"/>
  <c r="O24" i="1"/>
  <c r="O59" i="1"/>
  <c r="O58" i="1"/>
  <c r="O61" i="1"/>
  <c r="C15" i="1"/>
  <c r="O57" i="1"/>
  <c r="O63" i="1"/>
  <c r="O50" i="1"/>
  <c r="O32" i="1"/>
  <c r="O30" i="1"/>
  <c r="O40" i="1"/>
  <c r="O47" i="1"/>
  <c r="C16" i="1"/>
  <c r="D18" i="1" s="1"/>
  <c r="J42" i="1"/>
  <c r="F18" i="1" l="1"/>
  <c r="F19" i="1" s="1"/>
  <c r="C18" i="1"/>
</calcChain>
</file>

<file path=xl/sharedStrings.xml><?xml version="1.0" encoding="utf-8"?>
<sst xmlns="http://schemas.openxmlformats.org/spreadsheetml/2006/main" count="437" uniqueCount="246">
  <si>
    <t>AQ Tau / GSC 1840-1183</t>
  </si>
  <si>
    <t>System Type:</t>
  </si>
  <si>
    <t>EA/SD: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</si>
  <si>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</si>
  <si>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</si>
  <si>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</si>
  <si>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</si>
  <si>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</si>
  <si>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</si>
  <si>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</si>
  <si>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</si>
  <si>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</si>
  <si>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</si>
  <si>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</si>
  <si>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</si>
  <si>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</si>
  <si>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</si>
  <si>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</si>
  <si>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</si>
  <si>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</si>
  <si>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</si>
  <si>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</si>
  <si>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</si>
  <si>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</si>
  <si>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</si>
  <si>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</si>
  <si>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</si>
  <si>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</si>
  <si>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</si>
  <si>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</si>
  <si>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</si>
  <si>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</si>
  <si>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</si>
  <si>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</si>
  <si>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</si>
  <si>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</si>
  <si>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</si>
  <si>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</si>
  <si>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</si>
  <si>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</si>
  <si>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</si>
  <si>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</si>
  <si>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BAD?</t>
  </si>
  <si>
    <t> PZ 8.367 </t>
  </si>
  <si>
    <t>II</t>
  </si>
  <si>
    <t>GCVS 4</t>
  </si>
  <si>
    <t> PZP 1.433 </t>
  </si>
  <si>
    <t>I</t>
  </si>
  <si>
    <t> AOEB 12 </t>
  </si>
  <si>
    <t>IBVS 2875 </t>
  </si>
  <si>
    <t>BBSAG Bull.114</t>
  </si>
  <si>
    <t>IBVS 4888</t>
  </si>
  <si>
    <t>IBVS 5263</t>
  </si>
  <si>
    <t> BRNO 32 </t>
  </si>
  <si>
    <t>OEJV 0074</t>
  </si>
  <si>
    <t>IBVS 5493</t>
  </si>
  <si>
    <t>Diethelm R</t>
  </si>
  <si>
    <t>B</t>
  </si>
  <si>
    <t>IBVS 5731</t>
  </si>
  <si>
    <t>IBVS 5760</t>
  </si>
  <si>
    <t>JAVSO..36..171</t>
  </si>
  <si>
    <t>IBVS 5918</t>
  </si>
  <si>
    <t>JAVSO..38..183</t>
  </si>
  <si>
    <t>JAVSO..39..177</t>
  </si>
  <si>
    <t>IBVS 5992</t>
  </si>
  <si>
    <t>IBVS 6029</t>
  </si>
  <si>
    <t>JAVSO..41..122</t>
  </si>
  <si>
    <t>IBVS 6042</t>
  </si>
  <si>
    <t>JAVSO..42..426</t>
  </si>
  <si>
    <t>IBVS 6130</t>
  </si>
  <si>
    <t>JAVSO..45..215</t>
  </si>
  <si>
    <t>JAVSO..46…79 (2018)</t>
  </si>
  <si>
    <t>JAVSO..47..105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</si>
  <si>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</si>
  <si>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</si>
  <si>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</si>
  <si>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</si>
  <si>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</si>
  <si>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</si>
  <si>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</si>
  <si>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</si>
  <si>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2450464.3387 </t>
  </si>
  <si>
    <t> 15.01.1997 20:07 </t>
  </si>
  <si>
    <t> -0.0641 </t>
  </si>
  <si>
    <t>E </t>
  </si>
  <si>
    <t>?</t>
  </si>
  <si>
    <t> R.Diethelm </t>
  </si>
  <si>
    <t> BBS 114 </t>
  </si>
  <si>
    <t>2450841.2828 </t>
  </si>
  <si>
    <t> 27.01.1998 18:47 </t>
  </si>
  <si>
    <t> -0.0502 </t>
  </si>
  <si>
    <t> J.Safar </t>
  </si>
  <si>
    <t>IBVS 4888 </t>
  </si>
  <si>
    <t>2451129.4363 </t>
  </si>
  <si>
    <t> 11.11.1998 22:28 </t>
  </si>
  <si>
    <t> -0.0660 </t>
  </si>
  <si>
    <t>2451241.2997 </t>
  </si>
  <si>
    <t> 03.03.1999 19:11 </t>
  </si>
  <si>
    <t> -0.0657 </t>
  </si>
  <si>
    <t>IBVS 5263 </t>
  </si>
  <si>
    <t>2451484.4754 </t>
  </si>
  <si>
    <t> 01.11.1999 23:24 </t>
  </si>
  <si>
    <t> -0.0708 </t>
  </si>
  <si>
    <t>2451968.40296 </t>
  </si>
  <si>
    <t> 27.02.2001 21:40 </t>
  </si>
  <si>
    <t> -0.07306 </t>
  </si>
  <si>
    <t>C </t>
  </si>
  <si>
    <t>o</t>
  </si>
  <si>
    <t> J.Šafár </t>
  </si>
  <si>
    <t>OEJV 0074 </t>
  </si>
  <si>
    <t>2452972.7324 </t>
  </si>
  <si>
    <t> 29.11.2003 05:34 </t>
  </si>
  <si>
    <t> -0.0803 </t>
  </si>
  <si>
    <t> R.Nelson </t>
  </si>
  <si>
    <t>IBVS 5493 </t>
  </si>
  <si>
    <t>2453381.2737 </t>
  </si>
  <si>
    <t> 10.01.2005 18:34 </t>
  </si>
  <si>
    <t> -0.0828 </t>
  </si>
  <si>
    <t> Moschner </t>
  </si>
  <si>
    <t>BAVM 178 </t>
  </si>
  <si>
    <t>2454498.6820 </t>
  </si>
  <si>
    <t> 02.02.2008 04:22 </t>
  </si>
  <si>
    <t> -0.0902 </t>
  </si>
  <si>
    <t>ns</t>
  </si>
  <si>
    <t> J.Bialozynski </t>
  </si>
  <si>
    <t>JAAVSO 36(2);171 </t>
  </si>
  <si>
    <t>2454857.3714 </t>
  </si>
  <si>
    <t> 25.01.2009 20:54 </t>
  </si>
  <si>
    <t> -0.0925 </t>
  </si>
  <si>
    <t>-I</t>
  </si>
  <si>
    <t> F.Agerer </t>
  </si>
  <si>
    <t>BAVM 209 </t>
  </si>
  <si>
    <t>2455157.6972 </t>
  </si>
  <si>
    <t> 22.11.2009 04:43 </t>
  </si>
  <si>
    <t>20977</t>
  </si>
  <si>
    <t> -0.0950 </t>
  </si>
  <si>
    <t> N.Simmons </t>
  </si>
  <si>
    <t> JAAVSO 38;120 </t>
  </si>
  <si>
    <t>2455179.5846 </t>
  </si>
  <si>
    <t> 14.12.2009 02:01 </t>
  </si>
  <si>
    <t>20995</t>
  </si>
  <si>
    <t> -0.0939 </t>
  </si>
  <si>
    <t> G.Samolyk </t>
  </si>
  <si>
    <t>2455235.5163 </t>
  </si>
  <si>
    <t> 08.02.2010 00:23 </t>
  </si>
  <si>
    <t>21041</t>
  </si>
  <si>
    <t> -0.0938 </t>
  </si>
  <si>
    <t> K.Menzies </t>
  </si>
  <si>
    <t>2455490.8540 </t>
  </si>
  <si>
    <t> 21.10.2010 08:29 </t>
  </si>
  <si>
    <t>21251</t>
  </si>
  <si>
    <t> -0.0959 </t>
  </si>
  <si>
    <t> JAAVSO 39;177 </t>
  </si>
  <si>
    <t>2455585.6921 </t>
  </si>
  <si>
    <t> 24.01.2011 04:36 </t>
  </si>
  <si>
    <t>21329</t>
  </si>
  <si>
    <t> -0.0983 </t>
  </si>
  <si>
    <t>IBVS 5992 </t>
  </si>
  <si>
    <t>2455607.5783 </t>
  </si>
  <si>
    <t> 15.02.2011 01:52 </t>
  </si>
  <si>
    <t>21347</t>
  </si>
  <si>
    <t> -0.0984 </t>
  </si>
  <si>
    <t>2455940.7312 </t>
  </si>
  <si>
    <t> 14.01.2012 05:32 </t>
  </si>
  <si>
    <t>21621</t>
  </si>
  <si>
    <t> -0.1032 </t>
  </si>
  <si>
    <t>IBVS 6029 </t>
  </si>
  <si>
    <t>2455956.5428 </t>
  </si>
  <si>
    <t> 30.01.2012 01:01 </t>
  </si>
  <si>
    <t>21634</t>
  </si>
  <si>
    <t> JAAVSO 41;122 </t>
  </si>
  <si>
    <t>2456245.9207 </t>
  </si>
  <si>
    <t> 14.11.2012 10:05 </t>
  </si>
  <si>
    <t>21872</t>
  </si>
  <si>
    <t> -0.1056 </t>
  </si>
  <si>
    <t>IBVS 6042 </t>
  </si>
  <si>
    <t>2456594.8847 </t>
  </si>
  <si>
    <t> 29.10.2013 09:13 </t>
  </si>
  <si>
    <t>22159</t>
  </si>
  <si>
    <t> -0.1060 </t>
  </si>
  <si>
    <t> JAAVSO 42;426 </t>
  </si>
  <si>
    <t>2456971.8104 </t>
  </si>
  <si>
    <t> 10.11.2014 07:26 </t>
  </si>
  <si>
    <t>22469</t>
  </si>
  <si>
    <t> -0.1106 </t>
  </si>
  <si>
    <t> C.Lacy </t>
  </si>
  <si>
    <t>IBVS 6130 </t>
  </si>
  <si>
    <t>2456977.8890 </t>
  </si>
  <si>
    <t> 16.11.2014 09:20 </t>
  </si>
  <si>
    <t>22474</t>
  </si>
  <si>
    <t> -0.1115 </t>
  </si>
  <si>
    <t>2429651.348 </t>
  </si>
  <si>
    <t> 22.01.1940 20:21 </t>
  </si>
  <si>
    <t> 0.182 </t>
  </si>
  <si>
    <t>F </t>
  </si>
  <si>
    <t> N.E.Kurochkin </t>
  </si>
  <si>
    <t>2439060.438 </t>
  </si>
  <si>
    <t> 26.10.1965 22:30 </t>
  </si>
  <si>
    <t> -0.001 </t>
  </si>
  <si>
    <t>P </t>
  </si>
  <si>
    <t> Y.A.Fedayev </t>
  </si>
  <si>
    <t>2439387.502 </t>
  </si>
  <si>
    <t> 19.09.1966 00:02 </t>
  </si>
  <si>
    <t> -0.015 </t>
  </si>
  <si>
    <t>2439415.489 </t>
  </si>
  <si>
    <t> 16.10.1966 23:44 </t>
  </si>
  <si>
    <t> 0.006 </t>
  </si>
  <si>
    <t>2439910.299 </t>
  </si>
  <si>
    <t> 23.02.1968 19:10 </t>
  </si>
  <si>
    <t> -0.057 </t>
  </si>
  <si>
    <t>2439932.246 </t>
  </si>
  <si>
    <t> 16.03.1968 17:54 </t>
  </si>
  <si>
    <t> 0.004 </t>
  </si>
  <si>
    <t>2440153.522 </t>
  </si>
  <si>
    <t> 24.10.1968 00:31 </t>
  </si>
  <si>
    <t>2440508.538 </t>
  </si>
  <si>
    <t> 14.10.1969 00:54 </t>
  </si>
  <si>
    <t> -0.043 </t>
  </si>
  <si>
    <t>2443180.674 </t>
  </si>
  <si>
    <t> 06.02.1977 04:10 </t>
  </si>
  <si>
    <t> 0.144 </t>
  </si>
  <si>
    <t>V </t>
  </si>
  <si>
    <t> D.Ruokonen </t>
  </si>
  <si>
    <t>2444616.688 </t>
  </si>
  <si>
    <t> 12.01.1981 04:30 </t>
  </si>
  <si>
    <t> 0.176 </t>
  </si>
  <si>
    <t> G.Hanson </t>
  </si>
  <si>
    <t>2446012.9451 </t>
  </si>
  <si>
    <t> 08.11.1984 10:40 </t>
  </si>
  <si>
    <t> -0.0331 </t>
  </si>
  <si>
    <t> Xuefu &amp; Huisong </t>
  </si>
  <si>
    <t>2451585.3968 </t>
  </si>
  <si>
    <t> 10.02.2000 21:31 </t>
  </si>
  <si>
    <t> -0.0695 </t>
  </si>
  <si>
    <t>2453371.5472 </t>
  </si>
  <si>
    <t> 01.01.2005 01:07 </t>
  </si>
  <si>
    <t> -0.0820 </t>
  </si>
  <si>
    <t>2454059.7436 </t>
  </si>
  <si>
    <t> 20.11.2006 05:50 </t>
  </si>
  <si>
    <t> -0.0873 </t>
  </si>
  <si>
    <t>R</t>
  </si>
  <si>
    <t> R. Nelson </t>
  </si>
  <si>
    <t>IBVS 5760 </t>
  </si>
  <si>
    <t>JAVSO 49, 108</t>
  </si>
  <si>
    <t>JAVSO, 50, 133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</si>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</sst>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7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6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 applyAlignment="1"/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6" fontId="0" fillId="0" borderId="0" xfId="0" applyNumberFormat="1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167" fontId="16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Tau - O-C Diagr.</a:t>
            </a:r>
          </a:p>
        </c:rich>
      </c:tx>
      <c:layout>
        <c:manualLayout>
          <c:xMode val="edge"/>
          <c:yMode val="edge"/>
          <c:x val="0.3530502957000984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134538303036"/>
          <c:y val="0.23511007774245343"/>
          <c:w val="0.78003767260216239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Active!$H$21:$H$610</c:f>
              <c:numCache>
                <c:formatCode>General</c:formatCode>
                <c:ptCount val="590"/>
                <c:pt idx="2">
                  <c:v>-1.1520000043674372E-3</c:v>
                </c:pt>
                <c:pt idx="3">
                  <c:v>-1.5328000001318287E-2</c:v>
                </c:pt>
                <c:pt idx="4">
                  <c:v>5.8799999969778582E-3</c:v>
                </c:pt>
                <c:pt idx="5">
                  <c:v>-5.7048000002396293E-2</c:v>
                </c:pt>
                <c:pt idx="6">
                  <c:v>3.679999994346872E-3</c:v>
                </c:pt>
                <c:pt idx="7">
                  <c:v>-1.4848000006168149E-2</c:v>
                </c:pt>
                <c:pt idx="8">
                  <c:v>-4.2816000001039356E-2</c:v>
                </c:pt>
                <c:pt idx="11">
                  <c:v>-3.3124000008683652E-2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82-477D-9F4D-2BEC7276543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Active!$I$21:$I$610</c:f>
              <c:numCache>
                <c:formatCode>General</c:formatCode>
                <c:ptCount val="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82-477D-9F4D-2BEC7276543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Active!$J$21:$J$610</c:f>
              <c:numCache>
                <c:formatCode>General</c:formatCode>
                <c:ptCount val="590"/>
                <c:pt idx="12">
                  <c:v>-6.4067999999679159E-2</c:v>
                </c:pt>
                <c:pt idx="21">
                  <c:v>-8.2764000006136484E-2</c:v>
                </c:pt>
                <c:pt idx="24">
                  <c:v>-9.2519999998330604E-2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82-477D-9F4D-2BEC7276543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Active!$K$21:$K$610</c:f>
              <c:numCache>
                <c:formatCode>General</c:formatCode>
                <c:ptCount val="590"/>
                <c:pt idx="14">
                  <c:v>-6.5956000005826354E-2</c:v>
                </c:pt>
                <c:pt idx="15">
                  <c:v>-6.5724000000045635E-2</c:v>
                </c:pt>
                <c:pt idx="16">
                  <c:v>-7.0824000002176035E-2</c:v>
                </c:pt>
                <c:pt idx="17">
                  <c:v>-6.9455999997444451E-2</c:v>
                </c:pt>
                <c:pt idx="18">
                  <c:v>-7.305600000108825E-2</c:v>
                </c:pt>
                <c:pt idx="19">
                  <c:v>-8.0320000000938307E-2</c:v>
                </c:pt>
                <c:pt idx="20">
                  <c:v>-8.203200000571087E-2</c:v>
                </c:pt>
                <c:pt idx="22">
                  <c:v>-8.7496000000101048E-2</c:v>
                </c:pt>
                <c:pt idx="23">
                  <c:v>-9.0240000004996546E-2</c:v>
                </c:pt>
                <c:pt idx="25">
                  <c:v>-9.5007999996596482E-2</c:v>
                </c:pt>
                <c:pt idx="26">
                  <c:v>-9.3880000000353903E-2</c:v>
                </c:pt>
                <c:pt idx="27">
                  <c:v>-9.3764000004739501E-2</c:v>
                </c:pt>
                <c:pt idx="28">
                  <c:v>-9.5904000008886214E-2</c:v>
                </c:pt>
                <c:pt idx="29">
                  <c:v>-9.8316000003251247E-2</c:v>
                </c:pt>
                <c:pt idx="30">
                  <c:v>-9.8388000005797949E-2</c:v>
                </c:pt>
                <c:pt idx="31">
                  <c:v>-0.10318399999960093</c:v>
                </c:pt>
                <c:pt idx="32">
                  <c:v>-9.8336000002746005E-2</c:v>
                </c:pt>
                <c:pt idx="33">
                  <c:v>-0.10558800000580959</c:v>
                </c:pt>
                <c:pt idx="34">
                  <c:v>-0.1060360000046785</c:v>
                </c:pt>
                <c:pt idx="35">
                  <c:v>-0.11057600000640377</c:v>
                </c:pt>
                <c:pt idx="36">
                  <c:v>-0.11149600000499049</c:v>
                </c:pt>
                <c:pt idx="37">
                  <c:v>-0.11396000000240747</c:v>
                </c:pt>
                <c:pt idx="38">
                  <c:v>-0.11671600000408944</c:v>
                </c:pt>
                <c:pt idx="39">
                  <c:v>-0.11902800000098068</c:v>
                </c:pt>
                <c:pt idx="40">
                  <c:v>-0.12296400000195717</c:v>
                </c:pt>
                <c:pt idx="41">
                  <c:v>-0.12460000001010485</c:v>
                </c:pt>
                <c:pt idx="42">
                  <c:v>-0.1258559999987483</c:v>
                </c:pt>
                <c:pt idx="43">
                  <c:v>-0.1272880000033183</c:v>
                </c:pt>
                <c:pt idx="44">
                  <c:v>-0.12622000000556</c:v>
                </c:pt>
                <c:pt idx="45">
                  <c:v>-0.12824399999954039</c:v>
                </c:pt>
                <c:pt idx="46">
                  <c:v>-0.13050000000657747</c:v>
                </c:pt>
                <c:pt idx="47">
                  <c:v>-0.13090399999782676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82-477D-9F4D-2BEC7276543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Active!$L$21:$L$610</c:f>
              <c:numCache>
                <c:formatCode>General</c:formatCode>
                <c:ptCount val="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82-477D-9F4D-2BEC727654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Active!$M$21:$M$610</c:f>
              <c:numCache>
                <c:formatCode>General</c:formatCode>
                <c:ptCount val="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82-477D-9F4D-2BEC727654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Active!$N$21:$N$610</c:f>
              <c:numCache>
                <c:formatCode>General</c:formatCode>
                <c:ptCount val="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82-477D-9F4D-2BEC727654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Active!$O$21:$O$610</c:f>
              <c:numCache>
                <c:formatCode>General</c:formatCode>
                <c:ptCount val="590"/>
                <c:pt idx="0">
                  <c:v>9.0414761740197164E-2</c:v>
                </c:pt>
                <c:pt idx="1">
                  <c:v>9.0410331977685471E-2</c:v>
                </c:pt>
                <c:pt idx="2">
                  <c:v>2.1855327346702633E-2</c:v>
                </c:pt>
                <c:pt idx="3">
                  <c:v>1.9472115115411026E-2</c:v>
                </c:pt>
                <c:pt idx="4">
                  <c:v>1.9268346039873083E-2</c:v>
                </c:pt>
                <c:pt idx="5">
                  <c:v>1.5662519355353829E-2</c:v>
                </c:pt>
                <c:pt idx="6">
                  <c:v>1.5503047904932829E-2</c:v>
                </c:pt>
                <c:pt idx="7">
                  <c:v>1.3890614350676053E-2</c:v>
                </c:pt>
                <c:pt idx="8">
                  <c:v>1.1303633043846517E-2</c:v>
                </c:pt>
                <c:pt idx="9">
                  <c:v>-8.1651731950504597E-3</c:v>
                </c:pt>
                <c:pt idx="10">
                  <c:v>-1.8628272247672675E-2</c:v>
                </c:pt>
                <c:pt idx="11">
                  <c:v>-2.8803436737034768E-2</c:v>
                </c:pt>
                <c:pt idx="12">
                  <c:v>-6.1238157847661318E-2</c:v>
                </c:pt>
                <c:pt idx="13">
                  <c:v>-6.398461060491184E-2</c:v>
                </c:pt>
                <c:pt idx="14">
                  <c:v>-6.6084318035455003E-2</c:v>
                </c:pt>
                <c:pt idx="15">
                  <c:v>-6.6899394337606777E-2</c:v>
                </c:pt>
                <c:pt idx="16">
                  <c:v>-6.8671299342284553E-2</c:v>
                </c:pt>
                <c:pt idx="17">
                  <c:v>-6.9406639919225827E-2</c:v>
                </c:pt>
                <c:pt idx="18">
                  <c:v>-7.2197390301593306E-2</c:v>
                </c:pt>
                <c:pt idx="19">
                  <c:v>-7.951535797091247E-2</c:v>
                </c:pt>
                <c:pt idx="20">
                  <c:v>-8.2421282178584021E-2</c:v>
                </c:pt>
                <c:pt idx="21">
                  <c:v>-8.2492158378771135E-2</c:v>
                </c:pt>
                <c:pt idx="22">
                  <c:v>-8.7435773341822093E-2</c:v>
                </c:pt>
                <c:pt idx="23">
                  <c:v>-9.0634061875265487E-2</c:v>
                </c:pt>
                <c:pt idx="24">
                  <c:v>-9.3247621757165194E-2</c:v>
                </c:pt>
                <c:pt idx="25">
                  <c:v>-9.5435924437942216E-2</c:v>
                </c:pt>
                <c:pt idx="26">
                  <c:v>-9.5595395888363216E-2</c:v>
                </c:pt>
                <c:pt idx="27">
                  <c:v>-9.6002934039439103E-2</c:v>
                </c:pt>
                <c:pt idx="28">
                  <c:v>-9.7863434294350765E-2</c:v>
                </c:pt>
                <c:pt idx="29">
                  <c:v>-9.855447724617511E-2</c:v>
                </c:pt>
                <c:pt idx="30">
                  <c:v>-9.871394869659611E-2</c:v>
                </c:pt>
                <c:pt idx="31">
                  <c:v>-0.10114145855300463</c:v>
                </c:pt>
                <c:pt idx="32">
                  <c:v>-0.1012566323783087</c:v>
                </c:pt>
                <c:pt idx="33">
                  <c:v>-0.10336519933387525</c:v>
                </c:pt>
                <c:pt idx="34">
                  <c:v>-0.10590788301558784</c:v>
                </c:pt>
                <c:pt idx="35">
                  <c:v>-0.10865433577283837</c:v>
                </c:pt>
                <c:pt idx="36">
                  <c:v>-0.10869863339795532</c:v>
                </c:pt>
                <c:pt idx="37">
                  <c:v>-0.11459907706353228</c:v>
                </c:pt>
                <c:pt idx="38">
                  <c:v>-0.11649501541853749</c:v>
                </c:pt>
                <c:pt idx="39">
                  <c:v>-0.11895796337503961</c:v>
                </c:pt>
                <c:pt idx="40">
                  <c:v>-0.12280299723519036</c:v>
                </c:pt>
                <c:pt idx="41">
                  <c:v>-0.12465463796507861</c:v>
                </c:pt>
                <c:pt idx="42">
                  <c:v>-0.1252216475665755</c:v>
                </c:pt>
                <c:pt idx="43">
                  <c:v>-0.12728591689702512</c:v>
                </c:pt>
                <c:pt idx="44">
                  <c:v>-0.12779976934838166</c:v>
                </c:pt>
                <c:pt idx="45">
                  <c:v>-0.12785292649852201</c:v>
                </c:pt>
                <c:pt idx="46">
                  <c:v>-0.1306348173558661</c:v>
                </c:pt>
                <c:pt idx="47">
                  <c:v>-0.13064367688088949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82-477D-9F4D-2BEC727654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Active!$U$21:$U$610</c:f>
              <c:numCache>
                <c:formatCode>General</c:formatCode>
                <c:ptCount val="590"/>
                <c:pt idx="0">
                  <c:v>0.18195199999900069</c:v>
                </c:pt>
                <c:pt idx="1">
                  <c:v>0</c:v>
                </c:pt>
                <c:pt idx="9">
                  <c:v>0.14414399999805028</c:v>
                </c:pt>
                <c:pt idx="10">
                  <c:v>0.17551999999705004</c:v>
                </c:pt>
                <c:pt idx="13">
                  <c:v>-5.0208000000566244E-2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82-477D-9F4D-2BEC72765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87296"/>
        <c:axId val="1"/>
      </c:scatterChart>
      <c:valAx>
        <c:axId val="728487296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56046205869366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30129390018484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87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907578558225509E-2"/>
          <c:y val="0.90909222554077285"/>
          <c:w val="0.9149730498105481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Tau - O-C Diagr.</a:t>
            </a:r>
          </a:p>
        </c:rich>
      </c:tx>
      <c:layout>
        <c:manualLayout>
          <c:xMode val="edge"/>
          <c:yMode val="edge"/>
          <c:x val="0.3505535055350553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1660516605165"/>
          <c:y val="0.234375"/>
          <c:w val="0.78044280442804426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Active!$H$21:$H$610</c:f>
              <c:numCache>
                <c:formatCode>General</c:formatCode>
                <c:ptCount val="590"/>
                <c:pt idx="2">
                  <c:v>-1.1520000043674372E-3</c:v>
                </c:pt>
                <c:pt idx="3">
                  <c:v>-1.5328000001318287E-2</c:v>
                </c:pt>
                <c:pt idx="4">
                  <c:v>5.8799999969778582E-3</c:v>
                </c:pt>
                <c:pt idx="5">
                  <c:v>-5.7048000002396293E-2</c:v>
                </c:pt>
                <c:pt idx="6">
                  <c:v>3.679999994346872E-3</c:v>
                </c:pt>
                <c:pt idx="7">
                  <c:v>-1.4848000006168149E-2</c:v>
                </c:pt>
                <c:pt idx="8">
                  <c:v>-4.2816000001039356E-2</c:v>
                </c:pt>
                <c:pt idx="11">
                  <c:v>-3.3124000008683652E-2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34-4F51-A484-861990E16BC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Active!$I$21:$I$610</c:f>
              <c:numCache>
                <c:formatCode>General</c:formatCode>
                <c:ptCount val="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34-4F51-A484-861990E16B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Active!$J$21:$J$610</c:f>
              <c:numCache>
                <c:formatCode>General</c:formatCode>
                <c:ptCount val="590"/>
                <c:pt idx="12">
                  <c:v>-6.4067999999679159E-2</c:v>
                </c:pt>
                <c:pt idx="21">
                  <c:v>-8.2764000006136484E-2</c:v>
                </c:pt>
                <c:pt idx="24">
                  <c:v>-9.2519999998330604E-2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34-4F51-A484-861990E16B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Active!$K$21:$K$610</c:f>
              <c:numCache>
                <c:formatCode>General</c:formatCode>
                <c:ptCount val="590"/>
                <c:pt idx="14">
                  <c:v>-6.5956000005826354E-2</c:v>
                </c:pt>
                <c:pt idx="15">
                  <c:v>-6.5724000000045635E-2</c:v>
                </c:pt>
                <c:pt idx="16">
                  <c:v>-7.0824000002176035E-2</c:v>
                </c:pt>
                <c:pt idx="17">
                  <c:v>-6.9455999997444451E-2</c:v>
                </c:pt>
                <c:pt idx="18">
                  <c:v>-7.305600000108825E-2</c:v>
                </c:pt>
                <c:pt idx="19">
                  <c:v>-8.0320000000938307E-2</c:v>
                </c:pt>
                <c:pt idx="20">
                  <c:v>-8.203200000571087E-2</c:v>
                </c:pt>
                <c:pt idx="22">
                  <c:v>-8.7496000000101048E-2</c:v>
                </c:pt>
                <c:pt idx="23">
                  <c:v>-9.0240000004996546E-2</c:v>
                </c:pt>
                <c:pt idx="25">
                  <c:v>-9.5007999996596482E-2</c:v>
                </c:pt>
                <c:pt idx="26">
                  <c:v>-9.3880000000353903E-2</c:v>
                </c:pt>
                <c:pt idx="27">
                  <c:v>-9.3764000004739501E-2</c:v>
                </c:pt>
                <c:pt idx="28">
                  <c:v>-9.5904000008886214E-2</c:v>
                </c:pt>
                <c:pt idx="29">
                  <c:v>-9.8316000003251247E-2</c:v>
                </c:pt>
                <c:pt idx="30">
                  <c:v>-9.8388000005797949E-2</c:v>
                </c:pt>
                <c:pt idx="31">
                  <c:v>-0.10318399999960093</c:v>
                </c:pt>
                <c:pt idx="32">
                  <c:v>-9.8336000002746005E-2</c:v>
                </c:pt>
                <c:pt idx="33">
                  <c:v>-0.10558800000580959</c:v>
                </c:pt>
                <c:pt idx="34">
                  <c:v>-0.1060360000046785</c:v>
                </c:pt>
                <c:pt idx="35">
                  <c:v>-0.11057600000640377</c:v>
                </c:pt>
                <c:pt idx="36">
                  <c:v>-0.11149600000499049</c:v>
                </c:pt>
                <c:pt idx="37">
                  <c:v>-0.11396000000240747</c:v>
                </c:pt>
                <c:pt idx="38">
                  <c:v>-0.11671600000408944</c:v>
                </c:pt>
                <c:pt idx="39">
                  <c:v>-0.11902800000098068</c:v>
                </c:pt>
                <c:pt idx="40">
                  <c:v>-0.12296400000195717</c:v>
                </c:pt>
                <c:pt idx="41">
                  <c:v>-0.12460000001010485</c:v>
                </c:pt>
                <c:pt idx="42">
                  <c:v>-0.1258559999987483</c:v>
                </c:pt>
                <c:pt idx="43">
                  <c:v>-0.1272880000033183</c:v>
                </c:pt>
                <c:pt idx="44">
                  <c:v>-0.12622000000556</c:v>
                </c:pt>
                <c:pt idx="45">
                  <c:v>-0.12824399999954039</c:v>
                </c:pt>
                <c:pt idx="46">
                  <c:v>-0.13050000000657747</c:v>
                </c:pt>
                <c:pt idx="47">
                  <c:v>-0.13090399999782676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34-4F51-A484-861990E16B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Active!$L$21:$L$610</c:f>
              <c:numCache>
                <c:formatCode>General</c:formatCode>
                <c:ptCount val="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34-4F51-A484-861990E16B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Active!$M$21:$M$610</c:f>
              <c:numCache>
                <c:formatCode>General</c:formatCode>
                <c:ptCount val="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34-4F51-A484-861990E16B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Active!$N$21:$N$610</c:f>
              <c:numCache>
                <c:formatCode>General</c:formatCode>
                <c:ptCount val="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34-4F51-A484-861990E16B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Active!$O$21:$O$610</c:f>
              <c:numCache>
                <c:formatCode>General</c:formatCode>
                <c:ptCount val="590"/>
                <c:pt idx="0">
                  <c:v>9.0414761740197164E-2</c:v>
                </c:pt>
                <c:pt idx="1">
                  <c:v>9.0410331977685471E-2</c:v>
                </c:pt>
                <c:pt idx="2">
                  <c:v>2.1855327346702633E-2</c:v>
                </c:pt>
                <c:pt idx="3">
                  <c:v>1.9472115115411026E-2</c:v>
                </c:pt>
                <c:pt idx="4">
                  <c:v>1.9268346039873083E-2</c:v>
                </c:pt>
                <c:pt idx="5">
                  <c:v>1.5662519355353829E-2</c:v>
                </c:pt>
                <c:pt idx="6">
                  <c:v>1.5503047904932829E-2</c:v>
                </c:pt>
                <c:pt idx="7">
                  <c:v>1.3890614350676053E-2</c:v>
                </c:pt>
                <c:pt idx="8">
                  <c:v>1.1303633043846517E-2</c:v>
                </c:pt>
                <c:pt idx="9">
                  <c:v>-8.1651731950504597E-3</c:v>
                </c:pt>
                <c:pt idx="10">
                  <c:v>-1.8628272247672675E-2</c:v>
                </c:pt>
                <c:pt idx="11">
                  <c:v>-2.8803436737034768E-2</c:v>
                </c:pt>
                <c:pt idx="12">
                  <c:v>-6.1238157847661318E-2</c:v>
                </c:pt>
                <c:pt idx="13">
                  <c:v>-6.398461060491184E-2</c:v>
                </c:pt>
                <c:pt idx="14">
                  <c:v>-6.6084318035455003E-2</c:v>
                </c:pt>
                <c:pt idx="15">
                  <c:v>-6.6899394337606777E-2</c:v>
                </c:pt>
                <c:pt idx="16">
                  <c:v>-6.8671299342284553E-2</c:v>
                </c:pt>
                <c:pt idx="17">
                  <c:v>-6.9406639919225827E-2</c:v>
                </c:pt>
                <c:pt idx="18">
                  <c:v>-7.2197390301593306E-2</c:v>
                </c:pt>
                <c:pt idx="19">
                  <c:v>-7.951535797091247E-2</c:v>
                </c:pt>
                <c:pt idx="20">
                  <c:v>-8.2421282178584021E-2</c:v>
                </c:pt>
                <c:pt idx="21">
                  <c:v>-8.2492158378771135E-2</c:v>
                </c:pt>
                <c:pt idx="22">
                  <c:v>-8.7435773341822093E-2</c:v>
                </c:pt>
                <c:pt idx="23">
                  <c:v>-9.0634061875265487E-2</c:v>
                </c:pt>
                <c:pt idx="24">
                  <c:v>-9.3247621757165194E-2</c:v>
                </c:pt>
                <c:pt idx="25">
                  <c:v>-9.5435924437942216E-2</c:v>
                </c:pt>
                <c:pt idx="26">
                  <c:v>-9.5595395888363216E-2</c:v>
                </c:pt>
                <c:pt idx="27">
                  <c:v>-9.6002934039439103E-2</c:v>
                </c:pt>
                <c:pt idx="28">
                  <c:v>-9.7863434294350765E-2</c:v>
                </c:pt>
                <c:pt idx="29">
                  <c:v>-9.855447724617511E-2</c:v>
                </c:pt>
                <c:pt idx="30">
                  <c:v>-9.871394869659611E-2</c:v>
                </c:pt>
                <c:pt idx="31">
                  <c:v>-0.10114145855300463</c:v>
                </c:pt>
                <c:pt idx="32">
                  <c:v>-0.1012566323783087</c:v>
                </c:pt>
                <c:pt idx="33">
                  <c:v>-0.10336519933387525</c:v>
                </c:pt>
                <c:pt idx="34">
                  <c:v>-0.10590788301558784</c:v>
                </c:pt>
                <c:pt idx="35">
                  <c:v>-0.10865433577283837</c:v>
                </c:pt>
                <c:pt idx="36">
                  <c:v>-0.10869863339795532</c:v>
                </c:pt>
                <c:pt idx="37">
                  <c:v>-0.11459907706353228</c:v>
                </c:pt>
                <c:pt idx="38">
                  <c:v>-0.11649501541853749</c:v>
                </c:pt>
                <c:pt idx="39">
                  <c:v>-0.11895796337503961</c:v>
                </c:pt>
                <c:pt idx="40">
                  <c:v>-0.12280299723519036</c:v>
                </c:pt>
                <c:pt idx="41">
                  <c:v>-0.12465463796507861</c:v>
                </c:pt>
                <c:pt idx="42">
                  <c:v>-0.1252216475665755</c:v>
                </c:pt>
                <c:pt idx="43">
                  <c:v>-0.12728591689702512</c:v>
                </c:pt>
                <c:pt idx="44">
                  <c:v>-0.12779976934838166</c:v>
                </c:pt>
                <c:pt idx="45">
                  <c:v>-0.12785292649852201</c:v>
                </c:pt>
                <c:pt idx="46">
                  <c:v>-0.1306348173558661</c:v>
                </c:pt>
                <c:pt idx="47">
                  <c:v>-0.13064367688088949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34-4F51-A484-861990E16B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Active!$F$21:$F$610</c:f>
              <c:numCache>
                <c:formatCode>General</c:formatCode>
                <c:ptCount val="590"/>
                <c:pt idx="0">
                  <c:v>-0.5</c:v>
                </c:pt>
                <c:pt idx="1">
                  <c:v>0</c:v>
                </c:pt>
                <c:pt idx="2">
                  <c:v>7738</c:v>
                </c:pt>
                <c:pt idx="3">
                  <c:v>8007</c:v>
                </c:pt>
                <c:pt idx="4">
                  <c:v>8030</c:v>
                </c:pt>
                <c:pt idx="5">
                  <c:v>8437</c:v>
                </c:pt>
                <c:pt idx="6">
                  <c:v>8455</c:v>
                </c:pt>
                <c:pt idx="7">
                  <c:v>8637</c:v>
                </c:pt>
                <c:pt idx="8">
                  <c:v>8929</c:v>
                </c:pt>
                <c:pt idx="9">
                  <c:v>11126.5</c:v>
                </c:pt>
                <c:pt idx="10">
                  <c:v>12307.5</c:v>
                </c:pt>
                <c:pt idx="11">
                  <c:v>13456</c:v>
                </c:pt>
                <c:pt idx="12">
                  <c:v>17117</c:v>
                </c:pt>
                <c:pt idx="13">
                  <c:v>17427</c:v>
                </c:pt>
                <c:pt idx="14">
                  <c:v>17664</c:v>
                </c:pt>
                <c:pt idx="15">
                  <c:v>17756</c:v>
                </c:pt>
                <c:pt idx="16">
                  <c:v>17956</c:v>
                </c:pt>
                <c:pt idx="17">
                  <c:v>18039</c:v>
                </c:pt>
                <c:pt idx="18">
                  <c:v>18354</c:v>
                </c:pt>
                <c:pt idx="19">
                  <c:v>19180</c:v>
                </c:pt>
                <c:pt idx="20">
                  <c:v>19508</c:v>
                </c:pt>
                <c:pt idx="21">
                  <c:v>19516</c:v>
                </c:pt>
                <c:pt idx="22">
                  <c:v>20074</c:v>
                </c:pt>
                <c:pt idx="23">
                  <c:v>20435</c:v>
                </c:pt>
                <c:pt idx="24">
                  <c:v>20730</c:v>
                </c:pt>
                <c:pt idx="25">
                  <c:v>20977</c:v>
                </c:pt>
                <c:pt idx="26">
                  <c:v>20995</c:v>
                </c:pt>
                <c:pt idx="27">
                  <c:v>21041</c:v>
                </c:pt>
                <c:pt idx="28">
                  <c:v>21251</c:v>
                </c:pt>
                <c:pt idx="29">
                  <c:v>21329</c:v>
                </c:pt>
                <c:pt idx="30">
                  <c:v>21347</c:v>
                </c:pt>
                <c:pt idx="31">
                  <c:v>21621</c:v>
                </c:pt>
                <c:pt idx="32">
                  <c:v>21634</c:v>
                </c:pt>
                <c:pt idx="33">
                  <c:v>21872</c:v>
                </c:pt>
                <c:pt idx="34">
                  <c:v>22159</c:v>
                </c:pt>
                <c:pt idx="35">
                  <c:v>22469</c:v>
                </c:pt>
                <c:pt idx="36">
                  <c:v>22474</c:v>
                </c:pt>
                <c:pt idx="37">
                  <c:v>23140</c:v>
                </c:pt>
                <c:pt idx="38">
                  <c:v>23354</c:v>
                </c:pt>
                <c:pt idx="39">
                  <c:v>23632</c:v>
                </c:pt>
                <c:pt idx="40">
                  <c:v>24066</c:v>
                </c:pt>
                <c:pt idx="41">
                  <c:v>24275</c:v>
                </c:pt>
                <c:pt idx="42">
                  <c:v>24339</c:v>
                </c:pt>
                <c:pt idx="43">
                  <c:v>24572</c:v>
                </c:pt>
                <c:pt idx="44">
                  <c:v>24630</c:v>
                </c:pt>
                <c:pt idx="45">
                  <c:v>24636</c:v>
                </c:pt>
                <c:pt idx="46">
                  <c:v>24950</c:v>
                </c:pt>
                <c:pt idx="47">
                  <c:v>24951</c:v>
                </c:pt>
              </c:numCache>
            </c:numRef>
          </c:xVal>
          <c:yVal>
            <c:numRef>
              <c:f>Active!$U$21:$U$610</c:f>
              <c:numCache>
                <c:formatCode>General</c:formatCode>
                <c:ptCount val="590"/>
                <c:pt idx="0">
                  <c:v>0.18195199999900069</c:v>
                </c:pt>
                <c:pt idx="1">
                  <c:v>0</c:v>
                </c:pt>
                <c:pt idx="9">
                  <c:v>0.14414399999805028</c:v>
                </c:pt>
                <c:pt idx="10">
                  <c:v>0.17551999999705004</c:v>
                </c:pt>
                <c:pt idx="13">
                  <c:v>-5.0208000000566244E-2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34-4F51-A484-861990E16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88280"/>
        <c:axId val="1"/>
      </c:scatterChart>
      <c:valAx>
        <c:axId val="72848828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60516605166051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9557195571956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88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15498154981548E-2"/>
          <c:y val="0.90937500000000004"/>
          <c:w val="0.9132841328413283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15</xdr:col>
      <xdr:colOff>133350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A9B5D09-F45E-7049-C56B-E6ED21431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504825</xdr:colOff>
      <xdr:row>0</xdr:row>
      <xdr:rowOff>0</xdr:rowOff>
    </xdr:from>
    <xdr:to>
      <xdr:col>23</xdr:col>
      <xdr:colOff>381000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9452416-6FAD-BF60-9622-0E7F24F79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71.pdf" TargetMode="External"/><Relationship Id="rId13" Type="http://schemas.openxmlformats.org/officeDocument/2006/relationships/hyperlink" Target="http://www.konkoly.hu/cgi-bin/IBVS?6130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www.konkoly.hu/cgi-bin/IBVS?5760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konkoly.hu/cgi-bin/IBVS?5493" TargetMode="External"/><Relationship Id="rId11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2875" TargetMode="External"/><Relationship Id="rId10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www.konkoly.hu/cgi-bin/IBVS?61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1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20.42578125" style="1" customWidth="1"/>
    <col min="2" max="2" width="5.140625" style="1" customWidth="1"/>
    <col min="3" max="3" width="12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29651.774000000001</v>
      </c>
      <c r="D4" s="6">
        <v>1.2159040000000001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29651.774000000001</v>
      </c>
    </row>
    <row r="8" spans="1:6" x14ac:dyDescent="0.2">
      <c r="A8" s="1" t="s">
        <v>8</v>
      </c>
      <c r="C8" s="1">
        <f>+D4</f>
        <v>1.2159040000000001</v>
      </c>
    </row>
    <row r="9" spans="1:6" x14ac:dyDescent="0.2">
      <c r="A9" s="9" t="s">
        <v>9</v>
      </c>
      <c r="B9" s="10">
        <v>35</v>
      </c>
      <c r="C9" s="11" t="str">
        <f>"F"&amp;B9</f>
        <v>F35</v>
      </c>
      <c r="D9" s="12" t="str">
        <f>"G"&amp;B9</f>
        <v>G35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INTERCEPT(INDIRECT($D$9):G987,INDIRECT($C$9):F987)</f>
        <v>9.0410331977685471E-2</v>
      </c>
      <c r="D11" s="15"/>
      <c r="E11"/>
    </row>
    <row r="12" spans="1:6" x14ac:dyDescent="0.2">
      <c r="A12" t="s">
        <v>13</v>
      </c>
      <c r="B12"/>
      <c r="C12" s="14">
        <f ca="1">SLOPE(INDIRECT($D$9):G987,INDIRECT($C$9):F987)</f>
        <v>-8.8595250233888401E-6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(C7+C11)+(C8+C12)*INT(MAX(F21:F3528))</f>
        <v>59989.664060323121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1.2158951404749767</v>
      </c>
      <c r="E16" s="9" t="s">
        <v>19</v>
      </c>
      <c r="F16" s="14">
        <f ca="1">NOW()+15018.5+$C$5/24</f>
        <v>60309.541790972216</v>
      </c>
    </row>
    <row r="17" spans="1:21" x14ac:dyDescent="0.2">
      <c r="A17" s="9" t="s">
        <v>20</v>
      </c>
      <c r="B17"/>
      <c r="C17">
        <f>COUNT(C21:C2186)</f>
        <v>48</v>
      </c>
      <c r="E17" s="9" t="s">
        <v>21</v>
      </c>
      <c r="F17" s="14">
        <f ca="1">ROUND(2*(F16-$C$7)/$C$8,0)/2+F15</f>
        <v>25215</v>
      </c>
    </row>
    <row r="18" spans="1:21" x14ac:dyDescent="0.2">
      <c r="A18" s="16" t="s">
        <v>22</v>
      </c>
      <c r="B18"/>
      <c r="C18" s="18">
        <f ca="1">+C15</f>
        <v>59989.664060323121</v>
      </c>
      <c r="D18" s="19">
        <f ca="1">+C16</f>
        <v>1.2158951404749767</v>
      </c>
      <c r="E18" s="9" t="s">
        <v>23</v>
      </c>
      <c r="F18" s="12">
        <f ca="1">ROUND(2*(F16-$C$15)/$C$16,0)/2+F15</f>
        <v>264</v>
      </c>
    </row>
    <row r="19" spans="1:21" x14ac:dyDescent="0.2">
      <c r="E19" s="9" t="s">
        <v>24</v>
      </c>
      <c r="F19" s="20">
        <f ca="1">+$C$15+$C$16*F18-15018.5-$C$5/24</f>
        <v>45292.556210741852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3">
        <v>29651.348000000002</v>
      </c>
      <c r="D21" s="28"/>
      <c r="E21" s="1">
        <f t="shared" ref="E21:E66" si="0">+(C21-C$7)/C$8</f>
        <v>-0.35035660710012967</v>
      </c>
      <c r="F21" s="1">
        <f t="shared" ref="F21:F68" si="1">ROUND(2*E21,0)/2</f>
        <v>-0.5</v>
      </c>
      <c r="O21" s="1">
        <f t="shared" ref="O21:O66" ca="1" si="2">+C$11+C$12*F21</f>
        <v>9.0414761740197164E-2</v>
      </c>
      <c r="Q21" s="59">
        <f t="shared" ref="Q21:Q66" si="3">+C21-15018.5</f>
        <v>14632.848000000002</v>
      </c>
      <c r="U21" s="1">
        <f>+C21-(C$7+F21*C$8)</f>
        <v>0.18195199999900069</v>
      </c>
    </row>
    <row r="22" spans="1:21" x14ac:dyDescent="0.2">
      <c r="A22" s="1" t="s">
        <v>45</v>
      </c>
      <c r="C22" s="26">
        <v>29651.774000000001</v>
      </c>
      <c r="D22" s="26" t="s">
        <v>15</v>
      </c>
      <c r="E22" s="1">
        <f t="shared" si="0"/>
        <v>0</v>
      </c>
      <c r="F22" s="1">
        <f t="shared" si="1"/>
        <v>0</v>
      </c>
      <c r="O22" s="1">
        <f t="shared" ca="1" si="2"/>
        <v>9.0410331977685471E-2</v>
      </c>
      <c r="Q22" s="59">
        <f t="shared" si="3"/>
        <v>14633.274000000001</v>
      </c>
      <c r="U22" s="1">
        <f>+C22-(C$7+F22*C$8)</f>
        <v>0</v>
      </c>
    </row>
    <row r="23" spans="1:21" x14ac:dyDescent="0.2">
      <c r="A23" s="23" t="s">
        <v>46</v>
      </c>
      <c r="B23" s="24" t="s">
        <v>47</v>
      </c>
      <c r="C23" s="23">
        <v>39060.438000000002</v>
      </c>
      <c r="D23" s="28"/>
      <c r="E23" s="1">
        <f t="shared" si="0"/>
        <v>7737.999052556781</v>
      </c>
      <c r="F23" s="1">
        <f t="shared" si="1"/>
        <v>7738</v>
      </c>
      <c r="G23" s="1">
        <f t="shared" ref="G23:G29" si="4">+C23-(C$7+F23*C$8)</f>
        <v>-1.1520000043674372E-3</v>
      </c>
      <c r="H23" s="1">
        <f t="shared" ref="H23:H29" si="5">G23</f>
        <v>-1.1520000043674372E-3</v>
      </c>
      <c r="O23" s="1">
        <f t="shared" ca="1" si="2"/>
        <v>2.1855327346702633E-2</v>
      </c>
      <c r="Q23" s="59">
        <f t="shared" si="3"/>
        <v>24041.938000000002</v>
      </c>
    </row>
    <row r="24" spans="1:21" x14ac:dyDescent="0.2">
      <c r="A24" s="23" t="s">
        <v>46</v>
      </c>
      <c r="B24" s="24" t="s">
        <v>47</v>
      </c>
      <c r="C24" s="23">
        <v>39387.502</v>
      </c>
      <c r="D24" s="26"/>
      <c r="E24" s="1">
        <f t="shared" si="0"/>
        <v>8006.9873937416096</v>
      </c>
      <c r="F24" s="1">
        <f t="shared" si="1"/>
        <v>8007</v>
      </c>
      <c r="G24" s="1">
        <f t="shared" si="4"/>
        <v>-1.5328000001318287E-2</v>
      </c>
      <c r="H24" s="1">
        <f t="shared" si="5"/>
        <v>-1.5328000001318287E-2</v>
      </c>
      <c r="O24" s="1">
        <f t="shared" ca="1" si="2"/>
        <v>1.9472115115411026E-2</v>
      </c>
      <c r="Q24" s="59">
        <f t="shared" si="3"/>
        <v>24369.002</v>
      </c>
    </row>
    <row r="25" spans="1:21" x14ac:dyDescent="0.2">
      <c r="A25" s="23" t="s">
        <v>46</v>
      </c>
      <c r="B25" s="24" t="s">
        <v>47</v>
      </c>
      <c r="C25" s="23">
        <v>39415.489000000001</v>
      </c>
      <c r="D25" s="26"/>
      <c r="E25" s="1">
        <f t="shared" si="0"/>
        <v>8030.0048359080974</v>
      </c>
      <c r="F25" s="1">
        <f t="shared" si="1"/>
        <v>8030</v>
      </c>
      <c r="G25" s="1">
        <f t="shared" si="4"/>
        <v>5.8799999969778582E-3</v>
      </c>
      <c r="H25" s="1">
        <f t="shared" si="5"/>
        <v>5.8799999969778582E-3</v>
      </c>
      <c r="O25" s="1">
        <f t="shared" ca="1" si="2"/>
        <v>1.9268346039873083E-2</v>
      </c>
      <c r="Q25" s="59">
        <f t="shared" si="3"/>
        <v>24396.989000000001</v>
      </c>
    </row>
    <row r="26" spans="1:21" x14ac:dyDescent="0.2">
      <c r="A26" s="23" t="s">
        <v>46</v>
      </c>
      <c r="B26" s="24" t="s">
        <v>47</v>
      </c>
      <c r="C26" s="23">
        <v>39910.298999999999</v>
      </c>
      <c r="D26" s="26"/>
      <c r="E26" s="1">
        <f t="shared" si="0"/>
        <v>8436.9530818222465</v>
      </c>
      <c r="F26" s="1">
        <f t="shared" si="1"/>
        <v>8437</v>
      </c>
      <c r="G26" s="1">
        <f t="shared" si="4"/>
        <v>-5.7048000002396293E-2</v>
      </c>
      <c r="H26" s="1">
        <f t="shared" si="5"/>
        <v>-5.7048000002396293E-2</v>
      </c>
      <c r="O26" s="1">
        <f t="shared" ca="1" si="2"/>
        <v>1.5662519355353829E-2</v>
      </c>
      <c r="Q26" s="59">
        <f t="shared" si="3"/>
        <v>24891.798999999999</v>
      </c>
    </row>
    <row r="27" spans="1:21" x14ac:dyDescent="0.2">
      <c r="A27" s="23" t="s">
        <v>46</v>
      </c>
      <c r="B27" s="24" t="s">
        <v>47</v>
      </c>
      <c r="C27" s="23">
        <v>39932.245999999999</v>
      </c>
      <c r="D27" s="26"/>
      <c r="E27" s="1">
        <f t="shared" si="0"/>
        <v>8455.0030265547248</v>
      </c>
      <c r="F27" s="1">
        <f t="shared" si="1"/>
        <v>8455</v>
      </c>
      <c r="G27" s="1">
        <f t="shared" si="4"/>
        <v>3.679999994346872E-3</v>
      </c>
      <c r="H27" s="1">
        <f t="shared" si="5"/>
        <v>3.679999994346872E-3</v>
      </c>
      <c r="O27" s="1">
        <f t="shared" ca="1" si="2"/>
        <v>1.5503047904932829E-2</v>
      </c>
      <c r="Q27" s="59">
        <f t="shared" si="3"/>
        <v>24913.745999999999</v>
      </c>
    </row>
    <row r="28" spans="1:21" x14ac:dyDescent="0.2">
      <c r="A28" s="23" t="s">
        <v>46</v>
      </c>
      <c r="B28" s="24" t="s">
        <v>47</v>
      </c>
      <c r="C28" s="23">
        <v>40153.521999999997</v>
      </c>
      <c r="D28" s="26"/>
      <c r="E28" s="1">
        <f t="shared" si="0"/>
        <v>8636.9877885096157</v>
      </c>
      <c r="F28" s="1">
        <f t="shared" si="1"/>
        <v>8637</v>
      </c>
      <c r="G28" s="1">
        <f t="shared" si="4"/>
        <v>-1.4848000006168149E-2</v>
      </c>
      <c r="H28" s="1">
        <f t="shared" si="5"/>
        <v>-1.4848000006168149E-2</v>
      </c>
      <c r="O28" s="1">
        <f t="shared" ca="1" si="2"/>
        <v>1.3890614350676053E-2</v>
      </c>
      <c r="Q28" s="59">
        <f t="shared" si="3"/>
        <v>25135.021999999997</v>
      </c>
    </row>
    <row r="29" spans="1:21" x14ac:dyDescent="0.2">
      <c r="A29" s="23" t="s">
        <v>46</v>
      </c>
      <c r="B29" s="24" t="s">
        <v>47</v>
      </c>
      <c r="C29" s="23">
        <v>40508.538</v>
      </c>
      <c r="D29" s="26"/>
      <c r="E29" s="1">
        <f t="shared" si="0"/>
        <v>8928.9647866936848</v>
      </c>
      <c r="F29" s="1">
        <f t="shared" si="1"/>
        <v>8929</v>
      </c>
      <c r="G29" s="1">
        <f t="shared" si="4"/>
        <v>-4.2816000001039356E-2</v>
      </c>
      <c r="H29" s="1">
        <f t="shared" si="5"/>
        <v>-4.2816000001039356E-2</v>
      </c>
      <c r="O29" s="1">
        <f t="shared" ca="1" si="2"/>
        <v>1.1303633043846517E-2</v>
      </c>
      <c r="Q29" s="59">
        <f t="shared" si="3"/>
        <v>25490.038</v>
      </c>
    </row>
    <row r="30" spans="1:21" x14ac:dyDescent="0.2">
      <c r="A30" s="23" t="s">
        <v>48</v>
      </c>
      <c r="B30" s="24" t="s">
        <v>44</v>
      </c>
      <c r="C30" s="23">
        <v>43180.673999999999</v>
      </c>
      <c r="D30" s="26"/>
      <c r="E30" s="1">
        <f t="shared" si="0"/>
        <v>11126.618548832799</v>
      </c>
      <c r="F30" s="1">
        <f t="shared" si="1"/>
        <v>11126.5</v>
      </c>
      <c r="O30" s="1">
        <f t="shared" ca="1" si="2"/>
        <v>-8.1651731950504597E-3</v>
      </c>
      <c r="Q30" s="59">
        <f t="shared" si="3"/>
        <v>28162.173999999999</v>
      </c>
      <c r="U30" s="1">
        <f>+C30-(C$7+F30*C$8)</f>
        <v>0.14414399999805028</v>
      </c>
    </row>
    <row r="31" spans="1:21" x14ac:dyDescent="0.2">
      <c r="A31" s="23" t="s">
        <v>48</v>
      </c>
      <c r="B31" s="24" t="s">
        <v>44</v>
      </c>
      <c r="C31" s="23">
        <v>44616.688000000002</v>
      </c>
      <c r="D31" s="26"/>
      <c r="E31" s="1">
        <f t="shared" si="0"/>
        <v>12307.644353501591</v>
      </c>
      <c r="F31" s="1">
        <f t="shared" si="1"/>
        <v>12307.5</v>
      </c>
      <c r="O31" s="1">
        <f t="shared" ca="1" si="2"/>
        <v>-1.8628272247672675E-2</v>
      </c>
      <c r="Q31" s="59">
        <f t="shared" si="3"/>
        <v>29598.188000000002</v>
      </c>
      <c r="U31" s="1">
        <f>+C31-(C$7+F31*C$8)</f>
        <v>0.17551999999705004</v>
      </c>
    </row>
    <row r="32" spans="1:21" x14ac:dyDescent="0.2">
      <c r="A32" s="23" t="s">
        <v>49</v>
      </c>
      <c r="B32" s="24" t="s">
        <v>47</v>
      </c>
      <c r="C32" s="23">
        <v>46012.945099999997</v>
      </c>
      <c r="D32" s="26"/>
      <c r="E32" s="1">
        <f t="shared" si="0"/>
        <v>13455.972757717711</v>
      </c>
      <c r="F32" s="1">
        <f t="shared" si="1"/>
        <v>13456</v>
      </c>
      <c r="G32" s="1">
        <f>+C32-(C$7+F32*C$8)</f>
        <v>-3.3124000008683652E-2</v>
      </c>
      <c r="H32" s="1">
        <f>G32</f>
        <v>-3.3124000008683652E-2</v>
      </c>
      <c r="O32" s="1">
        <f t="shared" ca="1" si="2"/>
        <v>-2.8803436737034768E-2</v>
      </c>
      <c r="Q32" s="59">
        <f t="shared" si="3"/>
        <v>30994.445099999997</v>
      </c>
    </row>
    <row r="33" spans="1:31" x14ac:dyDescent="0.2">
      <c r="A33" s="1" t="s">
        <v>50</v>
      </c>
      <c r="C33" s="26">
        <v>50464.3387</v>
      </c>
      <c r="D33" s="26">
        <v>2.9999999999999997E-4</v>
      </c>
      <c r="E33" s="1">
        <f t="shared" si="0"/>
        <v>17116.947308340132</v>
      </c>
      <c r="F33" s="1">
        <f t="shared" si="1"/>
        <v>17117</v>
      </c>
      <c r="G33" s="1">
        <f>+C33-(C$7+F33*C$8)</f>
        <v>-6.4067999999679159E-2</v>
      </c>
      <c r="J33" s="1">
        <f>G33</f>
        <v>-6.4067999999679159E-2</v>
      </c>
      <c r="O33" s="1">
        <f t="shared" ca="1" si="2"/>
        <v>-6.1238157847661318E-2</v>
      </c>
      <c r="Q33" s="59">
        <f t="shared" si="3"/>
        <v>35445.8387</v>
      </c>
      <c r="AA33" s="1">
        <v>23</v>
      </c>
    </row>
    <row r="34" spans="1:31" x14ac:dyDescent="0.2">
      <c r="A34" s="1" t="s">
        <v>51</v>
      </c>
      <c r="C34" s="26">
        <v>50841.282800000001</v>
      </c>
      <c r="D34" s="26">
        <v>5.5999999999999999E-3</v>
      </c>
      <c r="E34" s="1">
        <f t="shared" si="0"/>
        <v>17426.95870726636</v>
      </c>
      <c r="F34" s="1">
        <f t="shared" si="1"/>
        <v>17427</v>
      </c>
      <c r="O34" s="1">
        <f t="shared" ca="1" si="2"/>
        <v>-6.398461060491184E-2</v>
      </c>
      <c r="Q34" s="59">
        <f t="shared" si="3"/>
        <v>35822.782800000001</v>
      </c>
      <c r="U34" s="12">
        <v>-5.0208000000566244E-2</v>
      </c>
    </row>
    <row r="35" spans="1:31" x14ac:dyDescent="0.2">
      <c r="A35" s="1" t="s">
        <v>51</v>
      </c>
      <c r="B35" s="15"/>
      <c r="C35" s="26">
        <v>51129.436300000001</v>
      </c>
      <c r="D35" s="26">
        <v>2.7000000000000001E-3</v>
      </c>
      <c r="E35" s="1">
        <f t="shared" si="0"/>
        <v>17663.945755585966</v>
      </c>
      <c r="F35" s="1">
        <f t="shared" si="1"/>
        <v>17664</v>
      </c>
      <c r="G35" s="1">
        <f t="shared" ref="G35:G66" si="6">+C35-(C$7+F35*C$8)</f>
        <v>-6.5956000005826354E-2</v>
      </c>
      <c r="K35" s="1">
        <f t="shared" ref="K35:K41" si="7">G35</f>
        <v>-6.5956000005826354E-2</v>
      </c>
      <c r="O35" s="1">
        <f t="shared" ca="1" si="2"/>
        <v>-6.6084318035455003E-2</v>
      </c>
      <c r="Q35" s="59">
        <f t="shared" si="3"/>
        <v>36110.936300000001</v>
      </c>
    </row>
    <row r="36" spans="1:31" x14ac:dyDescent="0.2">
      <c r="A36" s="25" t="s">
        <v>52</v>
      </c>
      <c r="B36" s="27" t="s">
        <v>47</v>
      </c>
      <c r="C36" s="28">
        <v>51241.299700000003</v>
      </c>
      <c r="D36" s="28">
        <v>1.5E-3</v>
      </c>
      <c r="E36" s="1">
        <f t="shared" si="0"/>
        <v>17755.945946390504</v>
      </c>
      <c r="F36" s="1">
        <f t="shared" si="1"/>
        <v>17756</v>
      </c>
      <c r="G36" s="1">
        <f t="shared" si="6"/>
        <v>-6.5724000000045635E-2</v>
      </c>
      <c r="K36" s="1">
        <f t="shared" si="7"/>
        <v>-6.5724000000045635E-2</v>
      </c>
      <c r="O36" s="1">
        <f t="shared" ca="1" si="2"/>
        <v>-6.6899394337606777E-2</v>
      </c>
      <c r="Q36" s="59">
        <f t="shared" si="3"/>
        <v>36222.799700000003</v>
      </c>
    </row>
    <row r="37" spans="1:31" x14ac:dyDescent="0.2">
      <c r="A37" s="25" t="s">
        <v>52</v>
      </c>
      <c r="B37" s="27" t="s">
        <v>47</v>
      </c>
      <c r="C37" s="28">
        <v>51484.475400000003</v>
      </c>
      <c r="D37" s="28">
        <v>3.5000000000000001E-3</v>
      </c>
      <c r="E37" s="1">
        <f t="shared" si="0"/>
        <v>17955.941751980419</v>
      </c>
      <c r="F37" s="1">
        <f t="shared" si="1"/>
        <v>17956</v>
      </c>
      <c r="G37" s="1">
        <f t="shared" si="6"/>
        <v>-7.0824000002176035E-2</v>
      </c>
      <c r="K37" s="1">
        <f t="shared" si="7"/>
        <v>-7.0824000002176035E-2</v>
      </c>
      <c r="O37" s="1">
        <f t="shared" ca="1" si="2"/>
        <v>-6.8671299342284553E-2</v>
      </c>
      <c r="Q37" s="59">
        <f t="shared" si="3"/>
        <v>36465.975400000003</v>
      </c>
    </row>
    <row r="38" spans="1:31" x14ac:dyDescent="0.2">
      <c r="A38" s="23" t="s">
        <v>53</v>
      </c>
      <c r="B38" s="24" t="s">
        <v>47</v>
      </c>
      <c r="C38" s="23">
        <v>51585.396800000002</v>
      </c>
      <c r="D38" s="26"/>
      <c r="E38" s="1">
        <f t="shared" si="0"/>
        <v>18038.942877069243</v>
      </c>
      <c r="F38" s="1">
        <f t="shared" si="1"/>
        <v>18039</v>
      </c>
      <c r="G38" s="1">
        <f t="shared" si="6"/>
        <v>-6.9455999997444451E-2</v>
      </c>
      <c r="K38" s="1">
        <f t="shared" si="7"/>
        <v>-6.9455999997444451E-2</v>
      </c>
      <c r="O38" s="1">
        <f t="shared" ca="1" si="2"/>
        <v>-6.9406639919225827E-2</v>
      </c>
      <c r="Q38" s="59">
        <f t="shared" si="3"/>
        <v>36566.896800000002</v>
      </c>
    </row>
    <row r="39" spans="1:31" x14ac:dyDescent="0.2">
      <c r="A39" s="28" t="s">
        <v>54</v>
      </c>
      <c r="B39" s="27" t="s">
        <v>47</v>
      </c>
      <c r="C39" s="28">
        <v>51968.402959999999</v>
      </c>
      <c r="D39" s="28">
        <v>3.0000000000000001E-3</v>
      </c>
      <c r="E39" s="1">
        <f t="shared" si="0"/>
        <v>18353.93991630918</v>
      </c>
      <c r="F39" s="1">
        <f t="shared" si="1"/>
        <v>18354</v>
      </c>
      <c r="G39" s="1">
        <f t="shared" si="6"/>
        <v>-7.305600000108825E-2</v>
      </c>
      <c r="K39" s="1">
        <f t="shared" si="7"/>
        <v>-7.305600000108825E-2</v>
      </c>
      <c r="O39" s="1">
        <f t="shared" ca="1" si="2"/>
        <v>-7.2197390301593306E-2</v>
      </c>
      <c r="Q39" s="59">
        <f t="shared" si="3"/>
        <v>36949.902959999999</v>
      </c>
    </row>
    <row r="40" spans="1:31" x14ac:dyDescent="0.2">
      <c r="A40" s="29" t="s">
        <v>55</v>
      </c>
      <c r="B40" s="25"/>
      <c r="C40" s="28">
        <v>52972.732400000001</v>
      </c>
      <c r="D40" s="28">
        <v>2.0000000000000001E-4</v>
      </c>
      <c r="E40" s="1">
        <f t="shared" si="0"/>
        <v>19179.933942153326</v>
      </c>
      <c r="F40" s="1">
        <f t="shared" si="1"/>
        <v>19180</v>
      </c>
      <c r="G40" s="1">
        <f t="shared" si="6"/>
        <v>-8.0320000000938307E-2</v>
      </c>
      <c r="K40" s="1">
        <f t="shared" si="7"/>
        <v>-8.0320000000938307E-2</v>
      </c>
      <c r="O40" s="1">
        <f t="shared" ca="1" si="2"/>
        <v>-7.951535797091247E-2</v>
      </c>
      <c r="Q40" s="59">
        <f t="shared" si="3"/>
        <v>37954.232400000001</v>
      </c>
    </row>
    <row r="41" spans="1:31" x14ac:dyDescent="0.2">
      <c r="A41" s="23" t="s">
        <v>48</v>
      </c>
      <c r="B41" s="24" t="s">
        <v>47</v>
      </c>
      <c r="C41" s="23">
        <v>53371.547200000001</v>
      </c>
      <c r="D41" s="26"/>
      <c r="E41" s="1">
        <f t="shared" si="0"/>
        <v>19507.932534147432</v>
      </c>
      <c r="F41" s="1">
        <f t="shared" si="1"/>
        <v>19508</v>
      </c>
      <c r="G41" s="1">
        <f t="shared" si="6"/>
        <v>-8.203200000571087E-2</v>
      </c>
      <c r="K41" s="1">
        <f t="shared" si="7"/>
        <v>-8.203200000571087E-2</v>
      </c>
      <c r="O41" s="1">
        <f t="shared" ca="1" si="2"/>
        <v>-8.2421282178584021E-2</v>
      </c>
      <c r="Q41" s="59">
        <f t="shared" si="3"/>
        <v>38353.047200000001</v>
      </c>
      <c r="AC41" s="1" t="s">
        <v>56</v>
      </c>
      <c r="AE41" s="1" t="s">
        <v>57</v>
      </c>
    </row>
    <row r="42" spans="1:31" x14ac:dyDescent="0.2">
      <c r="A42" s="30" t="s">
        <v>58</v>
      </c>
      <c r="B42" s="31"/>
      <c r="C42" s="28">
        <v>53381.273699999998</v>
      </c>
      <c r="D42" s="28">
        <v>2.9999999999999997E-4</v>
      </c>
      <c r="E42" s="1">
        <f t="shared" si="0"/>
        <v>19515.931932126216</v>
      </c>
      <c r="F42" s="1">
        <f t="shared" si="1"/>
        <v>19516</v>
      </c>
      <c r="G42" s="1">
        <f t="shared" si="6"/>
        <v>-8.2764000006136484E-2</v>
      </c>
      <c r="J42" s="1">
        <f>G42</f>
        <v>-8.2764000006136484E-2</v>
      </c>
      <c r="O42" s="1">
        <f t="shared" ca="1" si="2"/>
        <v>-8.2492158378771135E-2</v>
      </c>
      <c r="Q42" s="59">
        <f t="shared" si="3"/>
        <v>38362.773699999998</v>
      </c>
    </row>
    <row r="43" spans="1:31" x14ac:dyDescent="0.2">
      <c r="A43" s="29" t="s">
        <v>59</v>
      </c>
      <c r="B43" s="25"/>
      <c r="C43" s="28">
        <v>54059.743399999999</v>
      </c>
      <c r="D43" s="28">
        <v>2.0000000000000001E-4</v>
      </c>
      <c r="E43" s="1">
        <f t="shared" si="0"/>
        <v>20073.928040371604</v>
      </c>
      <c r="F43" s="1">
        <f t="shared" si="1"/>
        <v>20074</v>
      </c>
      <c r="G43" s="1">
        <f t="shared" si="6"/>
        <v>-8.7496000000101048E-2</v>
      </c>
      <c r="K43" s="1">
        <f>G43</f>
        <v>-8.7496000000101048E-2</v>
      </c>
      <c r="O43" s="1">
        <f t="shared" ca="1" si="2"/>
        <v>-8.7435773341822093E-2</v>
      </c>
      <c r="Q43" s="59">
        <f t="shared" si="3"/>
        <v>39041.243399999999</v>
      </c>
    </row>
    <row r="44" spans="1:31" x14ac:dyDescent="0.2">
      <c r="A44" s="30" t="s">
        <v>60</v>
      </c>
      <c r="B44" s="27" t="s">
        <v>47</v>
      </c>
      <c r="C44" s="28">
        <v>54498.682000000001</v>
      </c>
      <c r="D44" s="28">
        <v>2.9999999999999997E-4</v>
      </c>
      <c r="E44" s="1">
        <f t="shared" si="0"/>
        <v>20434.925783614493</v>
      </c>
      <c r="F44" s="1">
        <f t="shared" si="1"/>
        <v>20435</v>
      </c>
      <c r="G44" s="1">
        <f t="shared" si="6"/>
        <v>-9.0240000004996546E-2</v>
      </c>
      <c r="K44" s="1">
        <f>G44</f>
        <v>-9.0240000004996546E-2</v>
      </c>
      <c r="O44" s="1">
        <f t="shared" ca="1" si="2"/>
        <v>-9.0634061875265487E-2</v>
      </c>
      <c r="Q44" s="59">
        <f t="shared" si="3"/>
        <v>39480.182000000001</v>
      </c>
    </row>
    <row r="45" spans="1:31" x14ac:dyDescent="0.2">
      <c r="A45" s="32" t="s">
        <v>61</v>
      </c>
      <c r="B45" s="33" t="s">
        <v>47</v>
      </c>
      <c r="C45" s="32">
        <v>54857.371400000004</v>
      </c>
      <c r="D45" s="32">
        <v>4.0000000000000002E-4</v>
      </c>
      <c r="E45" s="1">
        <f t="shared" si="0"/>
        <v>20729.923908466459</v>
      </c>
      <c r="F45" s="1">
        <f t="shared" si="1"/>
        <v>20730</v>
      </c>
      <c r="G45" s="1">
        <f t="shared" si="6"/>
        <v>-9.2519999998330604E-2</v>
      </c>
      <c r="J45" s="1">
        <f>G45</f>
        <v>-9.2519999998330604E-2</v>
      </c>
      <c r="O45" s="1">
        <f t="shared" ca="1" si="2"/>
        <v>-9.3247621757165194E-2</v>
      </c>
      <c r="Q45" s="59">
        <f t="shared" si="3"/>
        <v>39838.871400000004</v>
      </c>
    </row>
    <row r="46" spans="1:31" x14ac:dyDescent="0.2">
      <c r="A46" s="30" t="s">
        <v>62</v>
      </c>
      <c r="B46" s="27" t="s">
        <v>47</v>
      </c>
      <c r="C46" s="28">
        <v>55157.697200000002</v>
      </c>
      <c r="D46" s="28">
        <v>2.9999999999999997E-4</v>
      </c>
      <c r="E46" s="1">
        <f t="shared" si="0"/>
        <v>20976.921862252282</v>
      </c>
      <c r="F46" s="1">
        <f t="shared" si="1"/>
        <v>20977</v>
      </c>
      <c r="G46" s="1">
        <f t="shared" si="6"/>
        <v>-9.5007999996596482E-2</v>
      </c>
      <c r="K46" s="1">
        <f t="shared" ref="K46:K66" si="8">G46</f>
        <v>-9.5007999996596482E-2</v>
      </c>
      <c r="O46" s="1">
        <f t="shared" ca="1" si="2"/>
        <v>-9.5435924437942216E-2</v>
      </c>
      <c r="Q46" s="59">
        <f t="shared" si="3"/>
        <v>40139.197200000002</v>
      </c>
    </row>
    <row r="47" spans="1:31" x14ac:dyDescent="0.2">
      <c r="A47" s="30" t="s">
        <v>62</v>
      </c>
      <c r="B47" s="27" t="s">
        <v>47</v>
      </c>
      <c r="C47" s="28">
        <v>55179.584600000002</v>
      </c>
      <c r="D47" s="28">
        <v>2.9999999999999997E-4</v>
      </c>
      <c r="E47" s="1">
        <f t="shared" si="0"/>
        <v>20994.922789957101</v>
      </c>
      <c r="F47" s="1">
        <f t="shared" si="1"/>
        <v>20995</v>
      </c>
      <c r="G47" s="1">
        <f t="shared" si="6"/>
        <v>-9.3880000000353903E-2</v>
      </c>
      <c r="K47" s="1">
        <f t="shared" si="8"/>
        <v>-9.3880000000353903E-2</v>
      </c>
      <c r="O47" s="1">
        <f t="shared" ca="1" si="2"/>
        <v>-9.5595395888363216E-2</v>
      </c>
      <c r="Q47" s="59">
        <f t="shared" si="3"/>
        <v>40161.084600000002</v>
      </c>
    </row>
    <row r="48" spans="1:31" x14ac:dyDescent="0.2">
      <c r="A48" s="30" t="s">
        <v>62</v>
      </c>
      <c r="B48" s="27" t="s">
        <v>47</v>
      </c>
      <c r="C48" s="28">
        <v>55235.516300000003</v>
      </c>
      <c r="D48" s="28">
        <v>2.0000000000000001E-4</v>
      </c>
      <c r="E48" s="1">
        <f t="shared" si="0"/>
        <v>21040.92288535937</v>
      </c>
      <c r="F48" s="1">
        <f t="shared" si="1"/>
        <v>21041</v>
      </c>
      <c r="G48" s="1">
        <f t="shared" si="6"/>
        <v>-9.3764000004739501E-2</v>
      </c>
      <c r="K48" s="1">
        <f t="shared" si="8"/>
        <v>-9.3764000004739501E-2</v>
      </c>
      <c r="O48" s="1">
        <f t="shared" ca="1" si="2"/>
        <v>-9.6002934039439103E-2</v>
      </c>
      <c r="Q48" s="59">
        <f t="shared" si="3"/>
        <v>40217.016300000003</v>
      </c>
    </row>
    <row r="49" spans="1:17" x14ac:dyDescent="0.2">
      <c r="A49" s="28" t="s">
        <v>63</v>
      </c>
      <c r="B49" s="27" t="s">
        <v>44</v>
      </c>
      <c r="C49" s="28">
        <v>55490.853999999999</v>
      </c>
      <c r="D49" s="28">
        <v>2.9999999999999997E-4</v>
      </c>
      <c r="E49" s="1">
        <f t="shared" si="0"/>
        <v>21250.921125351997</v>
      </c>
      <c r="F49" s="1">
        <f t="shared" si="1"/>
        <v>21251</v>
      </c>
      <c r="G49" s="1">
        <f t="shared" si="6"/>
        <v>-9.5904000008886214E-2</v>
      </c>
      <c r="K49" s="1">
        <f t="shared" si="8"/>
        <v>-9.5904000008886214E-2</v>
      </c>
      <c r="O49" s="1">
        <f t="shared" ca="1" si="2"/>
        <v>-9.7863434294350765E-2</v>
      </c>
      <c r="Q49" s="59">
        <f t="shared" si="3"/>
        <v>40472.353999999999</v>
      </c>
    </row>
    <row r="50" spans="1:17" x14ac:dyDescent="0.2">
      <c r="A50" s="32" t="s">
        <v>64</v>
      </c>
      <c r="B50" s="33" t="s">
        <v>47</v>
      </c>
      <c r="C50" s="32">
        <v>55585.6921</v>
      </c>
      <c r="D50" s="32">
        <v>2.0000000000000001E-4</v>
      </c>
      <c r="E50" s="1">
        <f t="shared" si="0"/>
        <v>21328.91914164276</v>
      </c>
      <c r="F50" s="1">
        <f t="shared" si="1"/>
        <v>21329</v>
      </c>
      <c r="G50" s="1">
        <f t="shared" si="6"/>
        <v>-9.8316000003251247E-2</v>
      </c>
      <c r="K50" s="1">
        <f t="shared" si="8"/>
        <v>-9.8316000003251247E-2</v>
      </c>
      <c r="O50" s="1">
        <f t="shared" ca="1" si="2"/>
        <v>-9.855447724617511E-2</v>
      </c>
      <c r="Q50" s="59">
        <f t="shared" si="3"/>
        <v>40567.1921</v>
      </c>
    </row>
    <row r="51" spans="1:17" x14ac:dyDescent="0.2">
      <c r="A51" s="28" t="s">
        <v>63</v>
      </c>
      <c r="B51" s="27" t="s">
        <v>44</v>
      </c>
      <c r="C51" s="28">
        <v>55607.578300000001</v>
      </c>
      <c r="D51" s="28">
        <v>2.9999999999999997E-4</v>
      </c>
      <c r="E51" s="1">
        <f t="shared" si="0"/>
        <v>21346.919082427557</v>
      </c>
      <c r="F51" s="1">
        <f t="shared" si="1"/>
        <v>21347</v>
      </c>
      <c r="G51" s="1">
        <f t="shared" si="6"/>
        <v>-9.8388000005797949E-2</v>
      </c>
      <c r="K51" s="1">
        <f t="shared" si="8"/>
        <v>-9.8388000005797949E-2</v>
      </c>
      <c r="O51" s="1">
        <f t="shared" ca="1" si="2"/>
        <v>-9.871394869659611E-2</v>
      </c>
      <c r="Q51" s="59">
        <f t="shared" si="3"/>
        <v>40589.078300000001</v>
      </c>
    </row>
    <row r="52" spans="1:17" x14ac:dyDescent="0.2">
      <c r="A52" s="28" t="s">
        <v>65</v>
      </c>
      <c r="B52" s="27" t="s">
        <v>47</v>
      </c>
      <c r="C52" s="28">
        <v>55940.731200000002</v>
      </c>
      <c r="D52" s="28">
        <v>5.0000000000000001E-4</v>
      </c>
      <c r="E52" s="1">
        <f t="shared" si="0"/>
        <v>21620.915138037213</v>
      </c>
      <c r="F52" s="1">
        <f t="shared" si="1"/>
        <v>21621</v>
      </c>
      <c r="G52" s="1">
        <f t="shared" si="6"/>
        <v>-0.10318399999960093</v>
      </c>
      <c r="K52" s="1">
        <f t="shared" si="8"/>
        <v>-0.10318399999960093</v>
      </c>
      <c r="O52" s="1">
        <f t="shared" ca="1" si="2"/>
        <v>-0.10114145855300463</v>
      </c>
      <c r="Q52" s="59">
        <f t="shared" si="3"/>
        <v>40922.231200000002</v>
      </c>
    </row>
    <row r="53" spans="1:17" x14ac:dyDescent="0.2">
      <c r="A53" s="30" t="s">
        <v>66</v>
      </c>
      <c r="B53" s="27" t="s">
        <v>47</v>
      </c>
      <c r="C53" s="28">
        <v>55956.542800000003</v>
      </c>
      <c r="D53" s="28">
        <v>2.9999999999999997E-4</v>
      </c>
      <c r="E53" s="1">
        <f t="shared" si="0"/>
        <v>21633.919125194094</v>
      </c>
      <c r="F53" s="1">
        <f t="shared" si="1"/>
        <v>21634</v>
      </c>
      <c r="G53" s="1">
        <f t="shared" si="6"/>
        <v>-9.8336000002746005E-2</v>
      </c>
      <c r="K53" s="1">
        <f t="shared" si="8"/>
        <v>-9.8336000002746005E-2</v>
      </c>
      <c r="O53" s="1">
        <f t="shared" ca="1" si="2"/>
        <v>-0.1012566323783087</v>
      </c>
      <c r="Q53" s="59">
        <f t="shared" si="3"/>
        <v>40938.042800000003</v>
      </c>
    </row>
    <row r="54" spans="1:17" x14ac:dyDescent="0.2">
      <c r="A54" s="30" t="s">
        <v>67</v>
      </c>
      <c r="B54" s="27" t="s">
        <v>47</v>
      </c>
      <c r="C54" s="28">
        <v>56245.920700000002</v>
      </c>
      <c r="D54" s="28">
        <v>1E-4</v>
      </c>
      <c r="E54" s="1">
        <f t="shared" si="0"/>
        <v>21871.913160907439</v>
      </c>
      <c r="F54" s="1">
        <f t="shared" si="1"/>
        <v>21872</v>
      </c>
      <c r="G54" s="1">
        <f t="shared" si="6"/>
        <v>-0.10558800000580959</v>
      </c>
      <c r="K54" s="1">
        <f t="shared" si="8"/>
        <v>-0.10558800000580959</v>
      </c>
      <c r="O54" s="1">
        <f t="shared" ca="1" si="2"/>
        <v>-0.10336519933387525</v>
      </c>
      <c r="Q54" s="59">
        <f t="shared" si="3"/>
        <v>41227.420700000002</v>
      </c>
    </row>
    <row r="55" spans="1:17" x14ac:dyDescent="0.2">
      <c r="A55" s="30" t="s">
        <v>68</v>
      </c>
      <c r="B55" s="27" t="s">
        <v>47</v>
      </c>
      <c r="C55" s="28">
        <v>56594.884700000002</v>
      </c>
      <c r="D55" s="28">
        <v>2.0000000000000001E-4</v>
      </c>
      <c r="E55" s="1">
        <f t="shared" si="0"/>
        <v>22158.912792457297</v>
      </c>
      <c r="F55" s="1">
        <f t="shared" si="1"/>
        <v>22159</v>
      </c>
      <c r="G55" s="1">
        <f t="shared" si="6"/>
        <v>-0.1060360000046785</v>
      </c>
      <c r="K55" s="1">
        <f t="shared" si="8"/>
        <v>-0.1060360000046785</v>
      </c>
      <c r="O55" s="1">
        <f t="shared" ca="1" si="2"/>
        <v>-0.10590788301558784</v>
      </c>
      <c r="Q55" s="59">
        <f t="shared" si="3"/>
        <v>41576.384700000002</v>
      </c>
    </row>
    <row r="56" spans="1:17" x14ac:dyDescent="0.2">
      <c r="A56" s="34" t="s">
        <v>69</v>
      </c>
      <c r="B56" s="35" t="s">
        <v>44</v>
      </c>
      <c r="C56" s="34">
        <v>56971.810400000002</v>
      </c>
      <c r="D56" s="34">
        <v>8.9999999999999998E-4</v>
      </c>
      <c r="E56" s="25">
        <f t="shared" si="0"/>
        <v>22468.90905860989</v>
      </c>
      <c r="F56" s="1">
        <f t="shared" si="1"/>
        <v>22469</v>
      </c>
      <c r="G56" s="1">
        <f t="shared" si="6"/>
        <v>-0.11057600000640377</v>
      </c>
      <c r="K56" s="1">
        <f t="shared" si="8"/>
        <v>-0.11057600000640377</v>
      </c>
      <c r="O56" s="1">
        <f t="shared" ca="1" si="2"/>
        <v>-0.10865433577283837</v>
      </c>
      <c r="Q56" s="59">
        <f t="shared" si="3"/>
        <v>41953.310400000002</v>
      </c>
    </row>
    <row r="57" spans="1:17" x14ac:dyDescent="0.2">
      <c r="A57" s="34" t="s">
        <v>69</v>
      </c>
      <c r="B57" s="35" t="s">
        <v>47</v>
      </c>
      <c r="C57" s="34">
        <v>56977.889000000003</v>
      </c>
      <c r="D57" s="34">
        <v>8.9999999999999998E-4</v>
      </c>
      <c r="E57" s="25">
        <f t="shared" si="0"/>
        <v>22473.908301971209</v>
      </c>
      <c r="F57" s="1">
        <f t="shared" si="1"/>
        <v>22474</v>
      </c>
      <c r="G57" s="1">
        <f t="shared" si="6"/>
        <v>-0.11149600000499049</v>
      </c>
      <c r="K57" s="1">
        <f t="shared" si="8"/>
        <v>-0.11149600000499049</v>
      </c>
      <c r="O57" s="1">
        <f t="shared" ca="1" si="2"/>
        <v>-0.10869863339795532</v>
      </c>
      <c r="Q57" s="59">
        <f t="shared" si="3"/>
        <v>41959.389000000003</v>
      </c>
    </row>
    <row r="58" spans="1:17" x14ac:dyDescent="0.2">
      <c r="A58" s="36" t="s">
        <v>70</v>
      </c>
      <c r="B58" s="37" t="s">
        <v>47</v>
      </c>
      <c r="C58" s="36">
        <v>57787.678599999999</v>
      </c>
      <c r="D58" s="36">
        <v>1E-4</v>
      </c>
      <c r="E58" s="25">
        <f t="shared" si="0"/>
        <v>23139.906275495432</v>
      </c>
      <c r="F58" s="1">
        <f t="shared" si="1"/>
        <v>23140</v>
      </c>
      <c r="G58" s="1">
        <f t="shared" si="6"/>
        <v>-0.11396000000240747</v>
      </c>
      <c r="K58" s="1">
        <f t="shared" si="8"/>
        <v>-0.11396000000240747</v>
      </c>
      <c r="O58" s="1">
        <f t="shared" ca="1" si="2"/>
        <v>-0.11459907706353228</v>
      </c>
      <c r="Q58" s="59">
        <f t="shared" si="3"/>
        <v>42769.178599999999</v>
      </c>
    </row>
    <row r="59" spans="1:17" x14ac:dyDescent="0.2">
      <c r="A59" s="36" t="s">
        <v>71</v>
      </c>
      <c r="B59" s="38" t="s">
        <v>47</v>
      </c>
      <c r="C59" s="36">
        <v>58047.879300000001</v>
      </c>
      <c r="D59" s="36">
        <v>1E-4</v>
      </c>
      <c r="E59" s="25">
        <f t="shared" si="0"/>
        <v>23353.904008869118</v>
      </c>
      <c r="F59" s="1">
        <f t="shared" si="1"/>
        <v>23354</v>
      </c>
      <c r="G59" s="1">
        <f t="shared" si="6"/>
        <v>-0.11671600000408944</v>
      </c>
      <c r="K59" s="1">
        <f t="shared" si="8"/>
        <v>-0.11671600000408944</v>
      </c>
      <c r="O59" s="1">
        <f t="shared" ca="1" si="2"/>
        <v>-0.11649501541853749</v>
      </c>
      <c r="Q59" s="59">
        <f t="shared" si="3"/>
        <v>43029.379300000001</v>
      </c>
    </row>
    <row r="60" spans="1:17" x14ac:dyDescent="0.2">
      <c r="A60" s="39" t="s">
        <v>72</v>
      </c>
      <c r="B60" s="40" t="s">
        <v>47</v>
      </c>
      <c r="C60" s="39">
        <v>58385.898300000001</v>
      </c>
      <c r="D60" s="39">
        <v>2.9999999999999997E-4</v>
      </c>
      <c r="E60" s="25">
        <f t="shared" si="0"/>
        <v>23631.902107403213</v>
      </c>
      <c r="F60" s="1">
        <f t="shared" si="1"/>
        <v>23632</v>
      </c>
      <c r="G60" s="1">
        <f t="shared" si="6"/>
        <v>-0.11902800000098068</v>
      </c>
      <c r="K60" s="1">
        <f t="shared" si="8"/>
        <v>-0.11902800000098068</v>
      </c>
      <c r="O60" s="1">
        <f t="shared" ca="1" si="2"/>
        <v>-0.11895796337503961</v>
      </c>
      <c r="Q60" s="59">
        <f t="shared" si="3"/>
        <v>43367.398300000001</v>
      </c>
    </row>
    <row r="61" spans="1:17" x14ac:dyDescent="0.2">
      <c r="A61" s="41" t="s">
        <v>73</v>
      </c>
      <c r="B61" s="42" t="s">
        <v>47</v>
      </c>
      <c r="C61" s="43">
        <v>58913.596700000002</v>
      </c>
      <c r="D61" s="43">
        <v>2.9999999999999997E-4</v>
      </c>
      <c r="E61" s="25">
        <f t="shared" si="0"/>
        <v>24065.898870305547</v>
      </c>
      <c r="F61" s="1">
        <f t="shared" si="1"/>
        <v>24066</v>
      </c>
      <c r="G61" s="1">
        <f t="shared" si="6"/>
        <v>-0.12296400000195717</v>
      </c>
      <c r="K61" s="1">
        <f t="shared" si="8"/>
        <v>-0.12296400000195717</v>
      </c>
      <c r="O61" s="1">
        <f t="shared" ca="1" si="2"/>
        <v>-0.12280299723519036</v>
      </c>
      <c r="Q61" s="59">
        <f t="shared" si="3"/>
        <v>43895.096700000002</v>
      </c>
    </row>
    <row r="62" spans="1:17" ht="12" customHeight="1" x14ac:dyDescent="0.2">
      <c r="A62" s="56" t="s">
        <v>243</v>
      </c>
      <c r="B62" s="57" t="s">
        <v>47</v>
      </c>
      <c r="C62" s="58">
        <v>59167.718999999997</v>
      </c>
      <c r="D62" s="58">
        <v>2.9999999999999997E-4</v>
      </c>
      <c r="E62" s="25">
        <f t="shared" si="0"/>
        <v>24274.897524804586</v>
      </c>
      <c r="F62" s="1">
        <f t="shared" si="1"/>
        <v>24275</v>
      </c>
      <c r="G62" s="1">
        <f t="shared" si="6"/>
        <v>-0.12460000001010485</v>
      </c>
      <c r="K62" s="1">
        <f t="shared" si="8"/>
        <v>-0.12460000001010485</v>
      </c>
      <c r="O62" s="1">
        <f t="shared" ca="1" si="2"/>
        <v>-0.12465463796507861</v>
      </c>
      <c r="Q62" s="59">
        <f t="shared" si="3"/>
        <v>44149.218999999997</v>
      </c>
    </row>
    <row r="63" spans="1:17" ht="12" customHeight="1" x14ac:dyDescent="0.2">
      <c r="A63" s="56" t="s">
        <v>243</v>
      </c>
      <c r="B63" s="57" t="s">
        <v>47</v>
      </c>
      <c r="C63" s="58">
        <v>59245.535600000003</v>
      </c>
      <c r="D63" s="58">
        <v>2.9999999999999997E-4</v>
      </c>
      <c r="E63" s="25">
        <f t="shared" si="0"/>
        <v>24338.896491828302</v>
      </c>
      <c r="F63" s="1">
        <f t="shared" si="1"/>
        <v>24339</v>
      </c>
      <c r="G63" s="1">
        <f t="shared" si="6"/>
        <v>-0.1258559999987483</v>
      </c>
      <c r="K63" s="1">
        <f t="shared" si="8"/>
        <v>-0.1258559999987483</v>
      </c>
      <c r="O63" s="1">
        <f t="shared" ca="1" si="2"/>
        <v>-0.1252216475665755</v>
      </c>
      <c r="Q63" s="59">
        <f t="shared" si="3"/>
        <v>44227.035600000003</v>
      </c>
    </row>
    <row r="64" spans="1:17" ht="12" customHeight="1" x14ac:dyDescent="0.2">
      <c r="A64" s="61" t="s">
        <v>244</v>
      </c>
      <c r="B64" s="60" t="s">
        <v>47</v>
      </c>
      <c r="C64" s="64">
        <v>59528.839800000002</v>
      </c>
      <c r="D64" s="61">
        <v>2.9999999999999997E-4</v>
      </c>
      <c r="E64" s="25">
        <f t="shared" si="0"/>
        <v>24571.895314103742</v>
      </c>
      <c r="F64" s="1">
        <f t="shared" si="1"/>
        <v>24572</v>
      </c>
      <c r="G64" s="1">
        <f t="shared" si="6"/>
        <v>-0.1272880000033183</v>
      </c>
      <c r="K64" s="1">
        <f t="shared" si="8"/>
        <v>-0.1272880000033183</v>
      </c>
      <c r="O64" s="1">
        <f t="shared" ca="1" si="2"/>
        <v>-0.12728591689702512</v>
      </c>
      <c r="Q64" s="59">
        <f t="shared" si="3"/>
        <v>44510.339800000002</v>
      </c>
    </row>
    <row r="65" spans="1:17" ht="12" customHeight="1" x14ac:dyDescent="0.2">
      <c r="A65" s="61" t="s">
        <v>244</v>
      </c>
      <c r="B65" s="60" t="s">
        <v>47</v>
      </c>
      <c r="C65" s="64">
        <v>59599.363299999997</v>
      </c>
      <c r="D65" s="61">
        <v>2.9999999999999997E-4</v>
      </c>
      <c r="E65" s="25">
        <f t="shared" si="0"/>
        <v>24629.896192462558</v>
      </c>
      <c r="F65" s="1">
        <f t="shared" si="1"/>
        <v>24630</v>
      </c>
      <c r="G65" s="1">
        <f t="shared" si="6"/>
        <v>-0.12622000000556</v>
      </c>
      <c r="K65" s="1">
        <f t="shared" si="8"/>
        <v>-0.12622000000556</v>
      </c>
      <c r="O65" s="1">
        <f t="shared" ca="1" si="2"/>
        <v>-0.12779976934838166</v>
      </c>
      <c r="Q65" s="59">
        <f t="shared" si="3"/>
        <v>44580.863299999997</v>
      </c>
    </row>
    <row r="66" spans="1:17" ht="12" customHeight="1" x14ac:dyDescent="0.2">
      <c r="A66" s="61" t="s">
        <v>244</v>
      </c>
      <c r="B66" s="60" t="s">
        <v>47</v>
      </c>
      <c r="C66" s="64">
        <v>59606.6567</v>
      </c>
      <c r="D66" s="61">
        <v>2.9999999999999997E-4</v>
      </c>
      <c r="E66" s="25">
        <f t="shared" si="0"/>
        <v>24635.894527857457</v>
      </c>
      <c r="F66" s="1">
        <f t="shared" si="1"/>
        <v>24636</v>
      </c>
      <c r="G66" s="1">
        <f t="shared" si="6"/>
        <v>-0.12824399999954039</v>
      </c>
      <c r="K66" s="1">
        <f t="shared" si="8"/>
        <v>-0.12824399999954039</v>
      </c>
      <c r="O66" s="1">
        <f t="shared" ca="1" si="2"/>
        <v>-0.12785292649852201</v>
      </c>
      <c r="Q66" s="59">
        <f t="shared" si="3"/>
        <v>44588.1567</v>
      </c>
    </row>
    <row r="67" spans="1:17" x14ac:dyDescent="0.2">
      <c r="A67" s="62" t="s">
        <v>245</v>
      </c>
      <c r="B67" s="63" t="s">
        <v>47</v>
      </c>
      <c r="C67" s="61">
        <v>59988.448299999996</v>
      </c>
      <c r="D67" s="61">
        <v>2.0000000000000001E-4</v>
      </c>
      <c r="E67" s="25">
        <f t="shared" ref="E67:E68" si="9">+(C67-C$7)/C$8</f>
        <v>24949.892672447819</v>
      </c>
      <c r="F67" s="1">
        <f t="shared" si="1"/>
        <v>24950</v>
      </c>
      <c r="G67" s="1">
        <f t="shared" ref="G67:G68" si="10">+C67-(C$7+F67*C$8)</f>
        <v>-0.13050000000657747</v>
      </c>
      <c r="K67" s="1">
        <f t="shared" ref="K67:K68" si="11">G67</f>
        <v>-0.13050000000657747</v>
      </c>
      <c r="O67" s="1">
        <f t="shared" ref="O67:O68" ca="1" si="12">+C$11+C$12*F67</f>
        <v>-0.1306348173558661</v>
      </c>
      <c r="Q67" s="59">
        <f t="shared" ref="Q67:Q68" si="13">+C67-15018.5</f>
        <v>44969.948299999996</v>
      </c>
    </row>
    <row r="68" spans="1:17" x14ac:dyDescent="0.2">
      <c r="A68" s="62" t="s">
        <v>245</v>
      </c>
      <c r="B68" s="63" t="s">
        <v>47</v>
      </c>
      <c r="C68" s="61">
        <v>59989.663800000002</v>
      </c>
      <c r="D68" s="61">
        <v>2.0000000000000001E-4</v>
      </c>
      <c r="E68" s="25">
        <f t="shared" si="9"/>
        <v>24950.89234018475</v>
      </c>
      <c r="F68" s="1">
        <f t="shared" si="1"/>
        <v>24951</v>
      </c>
      <c r="G68" s="1">
        <f t="shared" si="10"/>
        <v>-0.13090399999782676</v>
      </c>
      <c r="K68" s="1">
        <f t="shared" si="11"/>
        <v>-0.13090399999782676</v>
      </c>
      <c r="O68" s="1">
        <f t="shared" ca="1" si="12"/>
        <v>-0.13064367688088949</v>
      </c>
      <c r="Q68" s="59">
        <f t="shared" si="13"/>
        <v>44971.163800000002</v>
      </c>
    </row>
    <row r="69" spans="1:17" x14ac:dyDescent="0.2">
      <c r="C69" s="26"/>
      <c r="D69" s="26"/>
    </row>
    <row r="70" spans="1:17" x14ac:dyDescent="0.2">
      <c r="C70" s="26"/>
      <c r="D70" s="26"/>
    </row>
    <row r="71" spans="1:17" x14ac:dyDescent="0.2">
      <c r="C71" s="26"/>
      <c r="D71" s="26"/>
    </row>
    <row r="72" spans="1:17" x14ac:dyDescent="0.2">
      <c r="C72" s="26"/>
      <c r="D72" s="26"/>
    </row>
    <row r="73" spans="1:17" x14ac:dyDescent="0.2">
      <c r="C73" s="26"/>
      <c r="D73" s="26"/>
    </row>
    <row r="74" spans="1:17" x14ac:dyDescent="0.2">
      <c r="C74" s="26"/>
      <c r="D74" s="26"/>
    </row>
    <row r="75" spans="1:17" x14ac:dyDescent="0.2">
      <c r="C75" s="26"/>
      <c r="D75" s="26"/>
    </row>
    <row r="76" spans="1:17" x14ac:dyDescent="0.2">
      <c r="C76" s="26"/>
      <c r="D76" s="26"/>
    </row>
    <row r="77" spans="1:17" x14ac:dyDescent="0.2">
      <c r="C77" s="26"/>
      <c r="D77" s="26"/>
    </row>
    <row r="78" spans="1:17" x14ac:dyDescent="0.2">
      <c r="C78" s="26"/>
      <c r="D78" s="26"/>
    </row>
    <row r="79" spans="1:17" x14ac:dyDescent="0.2">
      <c r="C79" s="26"/>
      <c r="D79" s="26"/>
    </row>
    <row r="80" spans="1:17" x14ac:dyDescent="0.2">
      <c r="C80" s="26"/>
      <c r="D80" s="26"/>
    </row>
    <row r="81" spans="3:4" x14ac:dyDescent="0.2">
      <c r="C81" s="26"/>
      <c r="D81" s="26"/>
    </row>
    <row r="82" spans="3:4" x14ac:dyDescent="0.2">
      <c r="C82" s="26"/>
      <c r="D82" s="26"/>
    </row>
    <row r="83" spans="3:4" x14ac:dyDescent="0.2">
      <c r="C83" s="26"/>
      <c r="D83" s="26"/>
    </row>
    <row r="84" spans="3:4" x14ac:dyDescent="0.2">
      <c r="C84" s="26"/>
      <c r="D84" s="26"/>
    </row>
    <row r="85" spans="3:4" x14ac:dyDescent="0.2">
      <c r="C85" s="26"/>
      <c r="D85" s="26"/>
    </row>
    <row r="86" spans="3:4" x14ac:dyDescent="0.2">
      <c r="C86" s="26"/>
      <c r="D86" s="26"/>
    </row>
    <row r="87" spans="3:4" x14ac:dyDescent="0.2">
      <c r="C87" s="26"/>
      <c r="D87" s="26"/>
    </row>
    <row r="88" spans="3:4" x14ac:dyDescent="0.2">
      <c r="C88" s="26"/>
      <c r="D88" s="26"/>
    </row>
    <row r="89" spans="3:4" x14ac:dyDescent="0.2">
      <c r="C89" s="26"/>
      <c r="D89" s="26"/>
    </row>
    <row r="90" spans="3:4" x14ac:dyDescent="0.2">
      <c r="C90" s="26"/>
      <c r="D90" s="26"/>
    </row>
    <row r="91" spans="3:4" x14ac:dyDescent="0.2">
      <c r="C91" s="26"/>
      <c r="D91" s="26"/>
    </row>
    <row r="92" spans="3:4" x14ac:dyDescent="0.2">
      <c r="C92" s="26"/>
      <c r="D92" s="26"/>
    </row>
    <row r="93" spans="3:4" x14ac:dyDescent="0.2">
      <c r="C93" s="26"/>
      <c r="D93" s="26"/>
    </row>
    <row r="94" spans="3:4" x14ac:dyDescent="0.2">
      <c r="C94" s="26"/>
      <c r="D94" s="26"/>
    </row>
    <row r="95" spans="3:4" x14ac:dyDescent="0.2">
      <c r="C95" s="26"/>
      <c r="D95" s="26"/>
    </row>
    <row r="96" spans="3:4" x14ac:dyDescent="0.2">
      <c r="C96" s="26"/>
      <c r="D96" s="26"/>
    </row>
    <row r="97" spans="3:4" x14ac:dyDescent="0.2">
      <c r="C97" s="26"/>
      <c r="D97" s="26"/>
    </row>
    <row r="98" spans="3:4" x14ac:dyDescent="0.2">
      <c r="C98" s="26"/>
      <c r="D98" s="26"/>
    </row>
    <row r="99" spans="3:4" x14ac:dyDescent="0.2">
      <c r="C99" s="26"/>
      <c r="D99" s="26"/>
    </row>
    <row r="100" spans="3:4" x14ac:dyDescent="0.2">
      <c r="C100" s="26"/>
      <c r="D100" s="26"/>
    </row>
    <row r="101" spans="3:4" x14ac:dyDescent="0.2">
      <c r="C101" s="26"/>
      <c r="D101" s="26"/>
    </row>
    <row r="102" spans="3:4" x14ac:dyDescent="0.2">
      <c r="C102" s="26"/>
      <c r="D102" s="26"/>
    </row>
    <row r="103" spans="3:4" x14ac:dyDescent="0.2">
      <c r="C103" s="26"/>
      <c r="D103" s="26"/>
    </row>
    <row r="104" spans="3:4" x14ac:dyDescent="0.2">
      <c r="C104" s="26"/>
      <c r="D104" s="26"/>
    </row>
    <row r="105" spans="3:4" x14ac:dyDescent="0.2">
      <c r="C105" s="26"/>
      <c r="D105" s="26"/>
    </row>
    <row r="106" spans="3:4" x14ac:dyDescent="0.2">
      <c r="C106" s="26"/>
      <c r="D106" s="26"/>
    </row>
    <row r="107" spans="3:4" x14ac:dyDescent="0.2">
      <c r="C107" s="26"/>
      <c r="D107" s="26"/>
    </row>
    <row r="108" spans="3:4" x14ac:dyDescent="0.2">
      <c r="C108" s="26"/>
      <c r="D108" s="26"/>
    </row>
    <row r="109" spans="3:4" x14ac:dyDescent="0.2">
      <c r="C109" s="26"/>
      <c r="D109" s="26"/>
    </row>
    <row r="110" spans="3:4" x14ac:dyDescent="0.2">
      <c r="C110" s="26"/>
      <c r="D110" s="26"/>
    </row>
    <row r="111" spans="3:4" x14ac:dyDescent="0.2">
      <c r="C111" s="26"/>
      <c r="D111" s="26"/>
    </row>
    <row r="112" spans="3:4" x14ac:dyDescent="0.2">
      <c r="C112" s="26"/>
      <c r="D112" s="26"/>
    </row>
    <row r="113" spans="3:4" x14ac:dyDescent="0.2">
      <c r="C113" s="26"/>
      <c r="D113" s="26"/>
    </row>
    <row r="114" spans="3:4" x14ac:dyDescent="0.2">
      <c r="C114" s="26"/>
      <c r="D114" s="26"/>
    </row>
    <row r="115" spans="3:4" x14ac:dyDescent="0.2">
      <c r="C115" s="26"/>
      <c r="D115" s="26"/>
    </row>
    <row r="116" spans="3:4" x14ac:dyDescent="0.2">
      <c r="C116" s="26"/>
      <c r="D116" s="26"/>
    </row>
    <row r="117" spans="3:4" x14ac:dyDescent="0.2">
      <c r="C117" s="26"/>
      <c r="D117" s="26"/>
    </row>
    <row r="118" spans="3:4" x14ac:dyDescent="0.2">
      <c r="C118" s="26"/>
      <c r="D118" s="26"/>
    </row>
    <row r="119" spans="3:4" x14ac:dyDescent="0.2">
      <c r="C119" s="26"/>
      <c r="D119" s="26"/>
    </row>
    <row r="120" spans="3:4" x14ac:dyDescent="0.2">
      <c r="C120" s="26"/>
      <c r="D120" s="26"/>
    </row>
    <row r="121" spans="3:4" x14ac:dyDescent="0.2">
      <c r="C121" s="26"/>
      <c r="D121" s="26"/>
    </row>
    <row r="122" spans="3:4" x14ac:dyDescent="0.2">
      <c r="C122" s="26"/>
      <c r="D122" s="26"/>
    </row>
    <row r="123" spans="3:4" x14ac:dyDescent="0.2">
      <c r="C123" s="26"/>
      <c r="D123" s="26"/>
    </row>
    <row r="124" spans="3:4" x14ac:dyDescent="0.2">
      <c r="C124" s="26"/>
      <c r="D124" s="26"/>
    </row>
    <row r="125" spans="3:4" x14ac:dyDescent="0.2">
      <c r="C125" s="26"/>
      <c r="D125" s="26"/>
    </row>
    <row r="126" spans="3:4" x14ac:dyDescent="0.2">
      <c r="C126" s="26"/>
      <c r="D126" s="26"/>
    </row>
    <row r="127" spans="3:4" x14ac:dyDescent="0.2">
      <c r="C127" s="26"/>
      <c r="D127" s="26"/>
    </row>
    <row r="128" spans="3:4" x14ac:dyDescent="0.2">
      <c r="C128" s="26"/>
      <c r="D128" s="26"/>
    </row>
    <row r="129" spans="3:4" x14ac:dyDescent="0.2">
      <c r="C129" s="26"/>
      <c r="D129" s="26"/>
    </row>
    <row r="130" spans="3:4" x14ac:dyDescent="0.2">
      <c r="C130" s="26"/>
      <c r="D130" s="26"/>
    </row>
    <row r="131" spans="3:4" x14ac:dyDescent="0.2">
      <c r="C131" s="26"/>
      <c r="D131" s="26"/>
    </row>
    <row r="132" spans="3:4" x14ac:dyDescent="0.2">
      <c r="C132" s="26"/>
      <c r="D132" s="26"/>
    </row>
    <row r="133" spans="3:4" x14ac:dyDescent="0.2">
      <c r="C133" s="26"/>
      <c r="D133" s="26"/>
    </row>
    <row r="134" spans="3:4" x14ac:dyDescent="0.2">
      <c r="C134" s="26"/>
      <c r="D134" s="26"/>
    </row>
    <row r="135" spans="3:4" x14ac:dyDescent="0.2">
      <c r="C135" s="26"/>
      <c r="D135" s="26"/>
    </row>
    <row r="136" spans="3:4" x14ac:dyDescent="0.2">
      <c r="C136" s="26"/>
      <c r="D136" s="26"/>
    </row>
    <row r="137" spans="3:4" x14ac:dyDescent="0.2">
      <c r="C137" s="26"/>
      <c r="D137" s="26"/>
    </row>
    <row r="138" spans="3:4" x14ac:dyDescent="0.2">
      <c r="C138" s="26"/>
      <c r="D138" s="26"/>
    </row>
    <row r="139" spans="3:4" x14ac:dyDescent="0.2">
      <c r="C139" s="26"/>
      <c r="D139" s="26"/>
    </row>
    <row r="140" spans="3:4" x14ac:dyDescent="0.2">
      <c r="C140" s="26"/>
      <c r="D140" s="26"/>
    </row>
    <row r="141" spans="3:4" x14ac:dyDescent="0.2">
      <c r="C141" s="26"/>
      <c r="D141" s="26"/>
    </row>
    <row r="142" spans="3:4" x14ac:dyDescent="0.2">
      <c r="C142" s="26"/>
      <c r="D142" s="26"/>
    </row>
    <row r="143" spans="3:4" x14ac:dyDescent="0.2">
      <c r="C143" s="26"/>
      <c r="D143" s="26"/>
    </row>
    <row r="144" spans="3:4" x14ac:dyDescent="0.2">
      <c r="C144" s="26"/>
      <c r="D144" s="26"/>
    </row>
    <row r="145" spans="3:4" x14ac:dyDescent="0.2">
      <c r="C145" s="26"/>
      <c r="D145" s="26"/>
    </row>
    <row r="146" spans="3:4" x14ac:dyDescent="0.2">
      <c r="C146" s="26"/>
      <c r="D146" s="26"/>
    </row>
    <row r="147" spans="3:4" x14ac:dyDescent="0.2">
      <c r="C147" s="26"/>
      <c r="D147" s="26"/>
    </row>
    <row r="148" spans="3:4" x14ac:dyDescent="0.2">
      <c r="C148" s="26"/>
      <c r="D148" s="26"/>
    </row>
    <row r="149" spans="3:4" x14ac:dyDescent="0.2">
      <c r="C149" s="26"/>
      <c r="D149" s="26"/>
    </row>
    <row r="150" spans="3:4" x14ac:dyDescent="0.2">
      <c r="C150" s="26"/>
      <c r="D150" s="26"/>
    </row>
    <row r="151" spans="3:4" x14ac:dyDescent="0.2">
      <c r="C151" s="26"/>
      <c r="D151" s="26"/>
    </row>
  </sheetData>
  <sheetProtection selectLockedCells="1" selectUnlockedCells="1"/>
  <sortState xmlns:xlrd2="http://schemas.microsoft.com/office/spreadsheetml/2017/richdata2" ref="A21:AH66">
    <sortCondition ref="C21:C66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topLeftCell="A7" workbookViewId="0">
      <selection activeCell="A33" sqref="A33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4" t="s">
        <v>74</v>
      </c>
      <c r="I1" s="45" t="s">
        <v>75</v>
      </c>
      <c r="J1" s="46" t="s">
        <v>35</v>
      </c>
    </row>
    <row r="2" spans="1:16" x14ac:dyDescent="0.2">
      <c r="I2" s="47" t="s">
        <v>76</v>
      </c>
      <c r="J2" s="48" t="s">
        <v>34</v>
      </c>
    </row>
    <row r="3" spans="1:16" x14ac:dyDescent="0.2">
      <c r="A3" s="49" t="s">
        <v>77</v>
      </c>
      <c r="I3" s="47" t="s">
        <v>78</v>
      </c>
      <c r="J3" s="48" t="s">
        <v>32</v>
      </c>
    </row>
    <row r="4" spans="1:16" x14ac:dyDescent="0.2">
      <c r="I4" s="47" t="s">
        <v>79</v>
      </c>
      <c r="J4" s="48" t="s">
        <v>32</v>
      </c>
    </row>
    <row r="5" spans="1:16" x14ac:dyDescent="0.2">
      <c r="I5" s="50" t="s">
        <v>80</v>
      </c>
      <c r="J5" s="51" t="s">
        <v>33</v>
      </c>
    </row>
    <row r="11" spans="1:16" ht="12.75" customHeight="1" x14ac:dyDescent="0.2">
      <c r="A11" s="26" t="str">
        <f t="shared" ref="A11:A46" si="0">P11</f>
        <v> BBS 114 </v>
      </c>
      <c r="B11" s="15" t="str">
        <f t="shared" ref="B11:B46" si="1">IF(H11=INT(H11),"I","II")</f>
        <v>I</v>
      </c>
      <c r="C11" s="26">
        <f t="shared" ref="C11:C46" si="2">1*G11</f>
        <v>50464.3387</v>
      </c>
      <c r="D11" t="str">
        <f t="shared" ref="D11:D46" si="3">VLOOKUP(F11,I$1:J$5,2,FALSE)</f>
        <v>vis</v>
      </c>
      <c r="E11">
        <f>VLOOKUP(C11,Active!C$21:E$969,3,FALSE)</f>
        <v>17116.947308340132</v>
      </c>
      <c r="F11" s="15" t="s">
        <v>80</v>
      </c>
      <c r="G11" t="str">
        <f t="shared" ref="G11:G46" si="4">MID(I11,3,LEN(I11)-3)</f>
        <v>50464.3387</v>
      </c>
      <c r="H11" s="26">
        <f t="shared" ref="H11:H46" si="5">1*K11</f>
        <v>17117</v>
      </c>
      <c r="I11" s="52" t="s">
        <v>81</v>
      </c>
      <c r="J11" s="53" t="s">
        <v>82</v>
      </c>
      <c r="K11" s="52">
        <v>17117</v>
      </c>
      <c r="L11" s="52" t="s">
        <v>83</v>
      </c>
      <c r="M11" s="53" t="s">
        <v>84</v>
      </c>
      <c r="N11" s="53" t="s">
        <v>85</v>
      </c>
      <c r="O11" s="54" t="s">
        <v>86</v>
      </c>
      <c r="P11" s="54" t="s">
        <v>87</v>
      </c>
    </row>
    <row r="12" spans="1:16" ht="12.75" customHeight="1" x14ac:dyDescent="0.2">
      <c r="A12" s="26" t="str">
        <f t="shared" si="0"/>
        <v>IBVS 4888 </v>
      </c>
      <c r="B12" s="15" t="str">
        <f t="shared" si="1"/>
        <v>I</v>
      </c>
      <c r="C12" s="26">
        <f t="shared" si="2"/>
        <v>50841.282800000001</v>
      </c>
      <c r="D12" t="str">
        <f t="shared" si="3"/>
        <v>vis</v>
      </c>
      <c r="E12">
        <f>VLOOKUP(C12,Active!C$21:E$969,3,FALSE)</f>
        <v>17426.95870726636</v>
      </c>
      <c r="F12" s="15" t="s">
        <v>80</v>
      </c>
      <c r="G12" t="str">
        <f t="shared" si="4"/>
        <v>50841.2828</v>
      </c>
      <c r="H12" s="26">
        <f t="shared" si="5"/>
        <v>17427</v>
      </c>
      <c r="I12" s="52" t="s">
        <v>88</v>
      </c>
      <c r="J12" s="53" t="s">
        <v>89</v>
      </c>
      <c r="K12" s="52">
        <v>17427</v>
      </c>
      <c r="L12" s="52" t="s">
        <v>90</v>
      </c>
      <c r="M12" s="53" t="s">
        <v>84</v>
      </c>
      <c r="N12" s="53" t="s">
        <v>85</v>
      </c>
      <c r="O12" s="54" t="s">
        <v>91</v>
      </c>
      <c r="P12" s="55" t="s">
        <v>92</v>
      </c>
    </row>
    <row r="13" spans="1:16" ht="12.75" customHeight="1" x14ac:dyDescent="0.2">
      <c r="A13" s="26" t="str">
        <f t="shared" si="0"/>
        <v>IBVS 4888 </v>
      </c>
      <c r="B13" s="15" t="str">
        <f t="shared" si="1"/>
        <v>I</v>
      </c>
      <c r="C13" s="26">
        <f t="shared" si="2"/>
        <v>51129.436300000001</v>
      </c>
      <c r="D13" t="str">
        <f t="shared" si="3"/>
        <v>vis</v>
      </c>
      <c r="E13">
        <f>VLOOKUP(C13,Active!C$21:E$969,3,FALSE)</f>
        <v>17663.945755585966</v>
      </c>
      <c r="F13" s="15" t="s">
        <v>80</v>
      </c>
      <c r="G13" t="str">
        <f t="shared" si="4"/>
        <v>51129.4363</v>
      </c>
      <c r="H13" s="26">
        <f t="shared" si="5"/>
        <v>17664</v>
      </c>
      <c r="I13" s="52" t="s">
        <v>93</v>
      </c>
      <c r="J13" s="53" t="s">
        <v>94</v>
      </c>
      <c r="K13" s="52">
        <v>17664</v>
      </c>
      <c r="L13" s="52" t="s">
        <v>95</v>
      </c>
      <c r="M13" s="53" t="s">
        <v>84</v>
      </c>
      <c r="N13" s="53" t="s">
        <v>85</v>
      </c>
      <c r="O13" s="54" t="s">
        <v>91</v>
      </c>
      <c r="P13" s="55" t="s">
        <v>92</v>
      </c>
    </row>
    <row r="14" spans="1:16" ht="12.75" customHeight="1" x14ac:dyDescent="0.2">
      <c r="A14" s="26" t="str">
        <f t="shared" si="0"/>
        <v>IBVS 5263 </v>
      </c>
      <c r="B14" s="15" t="str">
        <f t="shared" si="1"/>
        <v>I</v>
      </c>
      <c r="C14" s="26">
        <f t="shared" si="2"/>
        <v>51241.299700000003</v>
      </c>
      <c r="D14" t="str">
        <f t="shared" si="3"/>
        <v>vis</v>
      </c>
      <c r="E14">
        <f>VLOOKUP(C14,Active!C$21:E$969,3,FALSE)</f>
        <v>17755.945946390504</v>
      </c>
      <c r="F14" s="15" t="s">
        <v>80</v>
      </c>
      <c r="G14" t="str">
        <f t="shared" si="4"/>
        <v>51241.2997</v>
      </c>
      <c r="H14" s="26">
        <f t="shared" si="5"/>
        <v>17756</v>
      </c>
      <c r="I14" s="52" t="s">
        <v>96</v>
      </c>
      <c r="J14" s="53" t="s">
        <v>97</v>
      </c>
      <c r="K14" s="52">
        <v>17756</v>
      </c>
      <c r="L14" s="52" t="s">
        <v>98</v>
      </c>
      <c r="M14" s="53" t="s">
        <v>84</v>
      </c>
      <c r="N14" s="53" t="s">
        <v>85</v>
      </c>
      <c r="O14" s="54" t="s">
        <v>91</v>
      </c>
      <c r="P14" s="55" t="s">
        <v>99</v>
      </c>
    </row>
    <row r="15" spans="1:16" ht="12.75" customHeight="1" x14ac:dyDescent="0.2">
      <c r="A15" s="26" t="str">
        <f t="shared" si="0"/>
        <v>IBVS 5263 </v>
      </c>
      <c r="B15" s="15" t="str">
        <f t="shared" si="1"/>
        <v>I</v>
      </c>
      <c r="C15" s="26">
        <f t="shared" si="2"/>
        <v>51484.475400000003</v>
      </c>
      <c r="D15" t="str">
        <f t="shared" si="3"/>
        <v>vis</v>
      </c>
      <c r="E15">
        <f>VLOOKUP(C15,Active!C$21:E$969,3,FALSE)</f>
        <v>17955.941751980419</v>
      </c>
      <c r="F15" s="15" t="s">
        <v>80</v>
      </c>
      <c r="G15" t="str">
        <f t="shared" si="4"/>
        <v>51484.4754</v>
      </c>
      <c r="H15" s="26">
        <f t="shared" si="5"/>
        <v>17956</v>
      </c>
      <c r="I15" s="52" t="s">
        <v>100</v>
      </c>
      <c r="J15" s="53" t="s">
        <v>101</v>
      </c>
      <c r="K15" s="52">
        <v>17956</v>
      </c>
      <c r="L15" s="52" t="s">
        <v>102</v>
      </c>
      <c r="M15" s="53" t="s">
        <v>84</v>
      </c>
      <c r="N15" s="53" t="s">
        <v>85</v>
      </c>
      <c r="O15" s="54" t="s">
        <v>91</v>
      </c>
      <c r="P15" s="55" t="s">
        <v>99</v>
      </c>
    </row>
    <row r="16" spans="1:16" ht="12.75" customHeight="1" x14ac:dyDescent="0.2">
      <c r="A16" s="26" t="str">
        <f t="shared" si="0"/>
        <v>OEJV 0074 </v>
      </c>
      <c r="B16" s="15" t="str">
        <f t="shared" si="1"/>
        <v>I</v>
      </c>
      <c r="C16" s="26">
        <f t="shared" si="2"/>
        <v>51968.402959999999</v>
      </c>
      <c r="D16" t="str">
        <f t="shared" si="3"/>
        <v>vis</v>
      </c>
      <c r="E16">
        <f>VLOOKUP(C16,Active!C$21:E$969,3,FALSE)</f>
        <v>18353.93991630918</v>
      </c>
      <c r="F16" s="15" t="s">
        <v>80</v>
      </c>
      <c r="G16" t="str">
        <f t="shared" si="4"/>
        <v>51968.40296</v>
      </c>
      <c r="H16" s="26">
        <f t="shared" si="5"/>
        <v>18354</v>
      </c>
      <c r="I16" s="52" t="s">
        <v>103</v>
      </c>
      <c r="J16" s="53" t="s">
        <v>104</v>
      </c>
      <c r="K16" s="52">
        <v>18354</v>
      </c>
      <c r="L16" s="52" t="s">
        <v>105</v>
      </c>
      <c r="M16" s="53" t="s">
        <v>106</v>
      </c>
      <c r="N16" s="53" t="s">
        <v>107</v>
      </c>
      <c r="O16" s="54" t="s">
        <v>108</v>
      </c>
      <c r="P16" s="55" t="s">
        <v>109</v>
      </c>
    </row>
    <row r="17" spans="1:16" ht="12.75" customHeight="1" x14ac:dyDescent="0.2">
      <c r="A17" s="26" t="str">
        <f t="shared" si="0"/>
        <v>IBVS 5493 </v>
      </c>
      <c r="B17" s="15" t="str">
        <f t="shared" si="1"/>
        <v>I</v>
      </c>
      <c r="C17" s="26">
        <f t="shared" si="2"/>
        <v>52972.732400000001</v>
      </c>
      <c r="D17" t="str">
        <f t="shared" si="3"/>
        <v>vis</v>
      </c>
      <c r="E17">
        <f>VLOOKUP(C17,Active!C$21:E$969,3,FALSE)</f>
        <v>19179.933942153326</v>
      </c>
      <c r="F17" s="15" t="s">
        <v>80</v>
      </c>
      <c r="G17" t="str">
        <f t="shared" si="4"/>
        <v>52972.7324</v>
      </c>
      <c r="H17" s="26">
        <f t="shared" si="5"/>
        <v>19180</v>
      </c>
      <c r="I17" s="52" t="s">
        <v>110</v>
      </c>
      <c r="J17" s="53" t="s">
        <v>111</v>
      </c>
      <c r="K17" s="52">
        <v>19180</v>
      </c>
      <c r="L17" s="52" t="s">
        <v>112</v>
      </c>
      <c r="M17" s="53" t="s">
        <v>84</v>
      </c>
      <c r="N17" s="53" t="s">
        <v>85</v>
      </c>
      <c r="O17" s="54" t="s">
        <v>113</v>
      </c>
      <c r="P17" s="55" t="s">
        <v>114</v>
      </c>
    </row>
    <row r="18" spans="1:16" ht="12.75" customHeight="1" x14ac:dyDescent="0.2">
      <c r="A18" s="26" t="str">
        <f t="shared" si="0"/>
        <v>BAVM 178 </v>
      </c>
      <c r="B18" s="15" t="str">
        <f t="shared" si="1"/>
        <v>I</v>
      </c>
      <c r="C18" s="26">
        <f t="shared" si="2"/>
        <v>53381.273699999998</v>
      </c>
      <c r="D18" t="str">
        <f t="shared" si="3"/>
        <v>vis</v>
      </c>
      <c r="E18">
        <f>VLOOKUP(C18,Active!C$21:E$969,3,FALSE)</f>
        <v>19515.931932126216</v>
      </c>
      <c r="F18" s="15" t="s">
        <v>80</v>
      </c>
      <c r="G18" t="str">
        <f t="shared" si="4"/>
        <v>53381.2737</v>
      </c>
      <c r="H18" s="26">
        <f t="shared" si="5"/>
        <v>19516</v>
      </c>
      <c r="I18" s="52" t="s">
        <v>115</v>
      </c>
      <c r="J18" s="53" t="s">
        <v>116</v>
      </c>
      <c r="K18" s="52">
        <v>19516</v>
      </c>
      <c r="L18" s="52" t="s">
        <v>117</v>
      </c>
      <c r="M18" s="53" t="s">
        <v>106</v>
      </c>
      <c r="N18" s="53" t="s">
        <v>107</v>
      </c>
      <c r="O18" s="54" t="s">
        <v>118</v>
      </c>
      <c r="P18" s="55" t="s">
        <v>119</v>
      </c>
    </row>
    <row r="19" spans="1:16" ht="12.75" customHeight="1" x14ac:dyDescent="0.2">
      <c r="A19" s="26" t="str">
        <f t="shared" si="0"/>
        <v>JAAVSO 36(2);171 </v>
      </c>
      <c r="B19" s="15" t="str">
        <f t="shared" si="1"/>
        <v>I</v>
      </c>
      <c r="C19" s="26">
        <f t="shared" si="2"/>
        <v>54498.682000000001</v>
      </c>
      <c r="D19" t="str">
        <f t="shared" si="3"/>
        <v>vis</v>
      </c>
      <c r="E19">
        <f>VLOOKUP(C19,Active!C$21:E$969,3,FALSE)</f>
        <v>20434.925783614493</v>
      </c>
      <c r="F19" s="15" t="s">
        <v>80</v>
      </c>
      <c r="G19" t="str">
        <f t="shared" si="4"/>
        <v>54498.6820</v>
      </c>
      <c r="H19" s="26">
        <f t="shared" si="5"/>
        <v>20435</v>
      </c>
      <c r="I19" s="52" t="s">
        <v>120</v>
      </c>
      <c r="J19" s="53" t="s">
        <v>121</v>
      </c>
      <c r="K19" s="52">
        <v>20435</v>
      </c>
      <c r="L19" s="52" t="s">
        <v>122</v>
      </c>
      <c r="M19" s="53" t="s">
        <v>106</v>
      </c>
      <c r="N19" s="53" t="s">
        <v>123</v>
      </c>
      <c r="O19" s="54" t="s">
        <v>124</v>
      </c>
      <c r="P19" s="55" t="s">
        <v>125</v>
      </c>
    </row>
    <row r="20" spans="1:16" ht="12.75" customHeight="1" x14ac:dyDescent="0.2">
      <c r="A20" s="26" t="str">
        <f t="shared" si="0"/>
        <v>BAVM 209 </v>
      </c>
      <c r="B20" s="15" t="str">
        <f t="shared" si="1"/>
        <v>I</v>
      </c>
      <c r="C20" s="26">
        <f t="shared" si="2"/>
        <v>54857.371400000004</v>
      </c>
      <c r="D20" t="str">
        <f t="shared" si="3"/>
        <v>vis</v>
      </c>
      <c r="E20">
        <f>VLOOKUP(C20,Active!C$21:E$969,3,FALSE)</f>
        <v>20729.923908466459</v>
      </c>
      <c r="F20" s="15" t="s">
        <v>80</v>
      </c>
      <c r="G20" t="str">
        <f t="shared" si="4"/>
        <v>54857.3714</v>
      </c>
      <c r="H20" s="26">
        <f t="shared" si="5"/>
        <v>20730</v>
      </c>
      <c r="I20" s="52" t="s">
        <v>126</v>
      </c>
      <c r="J20" s="53" t="s">
        <v>127</v>
      </c>
      <c r="K20" s="52">
        <v>20730</v>
      </c>
      <c r="L20" s="52" t="s">
        <v>128</v>
      </c>
      <c r="M20" s="53" t="s">
        <v>106</v>
      </c>
      <c r="N20" s="53" t="s">
        <v>129</v>
      </c>
      <c r="O20" s="54" t="s">
        <v>130</v>
      </c>
      <c r="P20" s="55" t="s">
        <v>131</v>
      </c>
    </row>
    <row r="21" spans="1:16" ht="12.75" customHeight="1" x14ac:dyDescent="0.2">
      <c r="A21" s="26" t="str">
        <f t="shared" si="0"/>
        <v> JAAVSO 38;120 </v>
      </c>
      <c r="B21" s="15" t="str">
        <f t="shared" si="1"/>
        <v>I</v>
      </c>
      <c r="C21" s="26">
        <f t="shared" si="2"/>
        <v>55157.697200000002</v>
      </c>
      <c r="D21" t="str">
        <f t="shared" si="3"/>
        <v>vis</v>
      </c>
      <c r="E21">
        <f>VLOOKUP(C21,Active!C$21:E$969,3,FALSE)</f>
        <v>20976.921862252282</v>
      </c>
      <c r="F21" s="15" t="s">
        <v>80</v>
      </c>
      <c r="G21" t="str">
        <f t="shared" si="4"/>
        <v>55157.6972</v>
      </c>
      <c r="H21" s="26">
        <f t="shared" si="5"/>
        <v>20977</v>
      </c>
      <c r="I21" s="52" t="s">
        <v>132</v>
      </c>
      <c r="J21" s="53" t="s">
        <v>133</v>
      </c>
      <c r="K21" s="52" t="s">
        <v>134</v>
      </c>
      <c r="L21" s="52" t="s">
        <v>135</v>
      </c>
      <c r="M21" s="53" t="s">
        <v>106</v>
      </c>
      <c r="N21" s="53" t="s">
        <v>123</v>
      </c>
      <c r="O21" s="54" t="s">
        <v>136</v>
      </c>
      <c r="P21" s="54" t="s">
        <v>137</v>
      </c>
    </row>
    <row r="22" spans="1:16" ht="12.75" customHeight="1" x14ac:dyDescent="0.2">
      <c r="A22" s="26" t="str">
        <f t="shared" si="0"/>
        <v> JAAVSO 38;120 </v>
      </c>
      <c r="B22" s="15" t="str">
        <f t="shared" si="1"/>
        <v>I</v>
      </c>
      <c r="C22" s="26">
        <f t="shared" si="2"/>
        <v>55179.584600000002</v>
      </c>
      <c r="D22" t="str">
        <f t="shared" si="3"/>
        <v>vis</v>
      </c>
      <c r="E22">
        <f>VLOOKUP(C22,Active!C$21:E$969,3,FALSE)</f>
        <v>20994.922789957101</v>
      </c>
      <c r="F22" s="15" t="s">
        <v>80</v>
      </c>
      <c r="G22" t="str">
        <f t="shared" si="4"/>
        <v>55179.5846</v>
      </c>
      <c r="H22" s="26">
        <f t="shared" si="5"/>
        <v>20995</v>
      </c>
      <c r="I22" s="52" t="s">
        <v>138</v>
      </c>
      <c r="J22" s="53" t="s">
        <v>139</v>
      </c>
      <c r="K22" s="52" t="s">
        <v>140</v>
      </c>
      <c r="L22" s="52" t="s">
        <v>141</v>
      </c>
      <c r="M22" s="53" t="s">
        <v>106</v>
      </c>
      <c r="N22" s="53" t="s">
        <v>123</v>
      </c>
      <c r="O22" s="54" t="s">
        <v>142</v>
      </c>
      <c r="P22" s="54" t="s">
        <v>137</v>
      </c>
    </row>
    <row r="23" spans="1:16" ht="12.75" customHeight="1" x14ac:dyDescent="0.2">
      <c r="A23" s="26" t="str">
        <f t="shared" si="0"/>
        <v> JAAVSO 38;120 </v>
      </c>
      <c r="B23" s="15" t="str">
        <f t="shared" si="1"/>
        <v>I</v>
      </c>
      <c r="C23" s="26">
        <f t="shared" si="2"/>
        <v>55235.516300000003</v>
      </c>
      <c r="D23" t="str">
        <f t="shared" si="3"/>
        <v>vis</v>
      </c>
      <c r="E23">
        <f>VLOOKUP(C23,Active!C$21:E$969,3,FALSE)</f>
        <v>21040.92288535937</v>
      </c>
      <c r="F23" s="15" t="s">
        <v>80</v>
      </c>
      <c r="G23" t="str">
        <f t="shared" si="4"/>
        <v>55235.5163</v>
      </c>
      <c r="H23" s="26">
        <f t="shared" si="5"/>
        <v>21041</v>
      </c>
      <c r="I23" s="52" t="s">
        <v>143</v>
      </c>
      <c r="J23" s="53" t="s">
        <v>144</v>
      </c>
      <c r="K23" s="52" t="s">
        <v>145</v>
      </c>
      <c r="L23" s="52" t="s">
        <v>146</v>
      </c>
      <c r="M23" s="53" t="s">
        <v>106</v>
      </c>
      <c r="N23" s="53" t="s">
        <v>123</v>
      </c>
      <c r="O23" s="54" t="s">
        <v>147</v>
      </c>
      <c r="P23" s="54" t="s">
        <v>137</v>
      </c>
    </row>
    <row r="24" spans="1:16" ht="12.75" customHeight="1" x14ac:dyDescent="0.2">
      <c r="A24" s="26" t="str">
        <f t="shared" si="0"/>
        <v> JAAVSO 39;177 </v>
      </c>
      <c r="B24" s="15" t="str">
        <f t="shared" si="1"/>
        <v>I</v>
      </c>
      <c r="C24" s="26">
        <f t="shared" si="2"/>
        <v>55490.853999999999</v>
      </c>
      <c r="D24" t="str">
        <f t="shared" si="3"/>
        <v>vis</v>
      </c>
      <c r="E24">
        <f>VLOOKUP(C24,Active!C$21:E$969,3,FALSE)</f>
        <v>21250.921125351997</v>
      </c>
      <c r="F24" s="15" t="s">
        <v>80</v>
      </c>
      <c r="G24" t="str">
        <f t="shared" si="4"/>
        <v>55490.8540</v>
      </c>
      <c r="H24" s="26">
        <f t="shared" si="5"/>
        <v>21251</v>
      </c>
      <c r="I24" s="52" t="s">
        <v>148</v>
      </c>
      <c r="J24" s="53" t="s">
        <v>149</v>
      </c>
      <c r="K24" s="52" t="s">
        <v>150</v>
      </c>
      <c r="L24" s="52" t="s">
        <v>151</v>
      </c>
      <c r="M24" s="53" t="s">
        <v>106</v>
      </c>
      <c r="N24" s="53" t="s">
        <v>80</v>
      </c>
      <c r="O24" s="54" t="s">
        <v>147</v>
      </c>
      <c r="P24" s="54" t="s">
        <v>152</v>
      </c>
    </row>
    <row r="25" spans="1:16" ht="12.75" customHeight="1" x14ac:dyDescent="0.2">
      <c r="A25" s="26" t="str">
        <f t="shared" si="0"/>
        <v>IBVS 5992 </v>
      </c>
      <c r="B25" s="15" t="str">
        <f t="shared" si="1"/>
        <v>I</v>
      </c>
      <c r="C25" s="26">
        <f t="shared" si="2"/>
        <v>55585.6921</v>
      </c>
      <c r="D25" t="str">
        <f t="shared" si="3"/>
        <v>vis</v>
      </c>
      <c r="E25">
        <f>VLOOKUP(C25,Active!C$21:E$969,3,FALSE)</f>
        <v>21328.91914164276</v>
      </c>
      <c r="F25" s="15" t="s">
        <v>80</v>
      </c>
      <c r="G25" t="str">
        <f t="shared" si="4"/>
        <v>55585.6921</v>
      </c>
      <c r="H25" s="26">
        <f t="shared" si="5"/>
        <v>21329</v>
      </c>
      <c r="I25" s="52" t="s">
        <v>153</v>
      </c>
      <c r="J25" s="53" t="s">
        <v>154</v>
      </c>
      <c r="K25" s="52" t="s">
        <v>155</v>
      </c>
      <c r="L25" s="52" t="s">
        <v>156</v>
      </c>
      <c r="M25" s="53" t="s">
        <v>106</v>
      </c>
      <c r="N25" s="53" t="s">
        <v>80</v>
      </c>
      <c r="O25" s="54" t="s">
        <v>86</v>
      </c>
      <c r="P25" s="55" t="s">
        <v>157</v>
      </c>
    </row>
    <row r="26" spans="1:16" ht="12.75" customHeight="1" x14ac:dyDescent="0.2">
      <c r="A26" s="26" t="str">
        <f t="shared" si="0"/>
        <v> JAAVSO 39;177 </v>
      </c>
      <c r="B26" s="15" t="str">
        <f t="shared" si="1"/>
        <v>I</v>
      </c>
      <c r="C26" s="26">
        <f t="shared" si="2"/>
        <v>55607.578300000001</v>
      </c>
      <c r="D26" t="str">
        <f t="shared" si="3"/>
        <v>vis</v>
      </c>
      <c r="E26">
        <f>VLOOKUP(C26,Active!C$21:E$969,3,FALSE)</f>
        <v>21346.919082427557</v>
      </c>
      <c r="F26" s="15" t="s">
        <v>80</v>
      </c>
      <c r="G26" t="str">
        <f t="shared" si="4"/>
        <v>55607.5783</v>
      </c>
      <c r="H26" s="26">
        <f t="shared" si="5"/>
        <v>21347</v>
      </c>
      <c r="I26" s="52" t="s">
        <v>158</v>
      </c>
      <c r="J26" s="53" t="s">
        <v>159</v>
      </c>
      <c r="K26" s="52" t="s">
        <v>160</v>
      </c>
      <c r="L26" s="52" t="s">
        <v>161</v>
      </c>
      <c r="M26" s="53" t="s">
        <v>106</v>
      </c>
      <c r="N26" s="53" t="s">
        <v>80</v>
      </c>
      <c r="O26" s="54" t="s">
        <v>142</v>
      </c>
      <c r="P26" s="54" t="s">
        <v>152</v>
      </c>
    </row>
    <row r="27" spans="1:16" ht="12.75" customHeight="1" x14ac:dyDescent="0.2">
      <c r="A27" s="26" t="str">
        <f t="shared" si="0"/>
        <v>IBVS 6029 </v>
      </c>
      <c r="B27" s="15" t="str">
        <f t="shared" si="1"/>
        <v>I</v>
      </c>
      <c r="C27" s="26">
        <f t="shared" si="2"/>
        <v>55940.731200000002</v>
      </c>
      <c r="D27" t="str">
        <f t="shared" si="3"/>
        <v>vis</v>
      </c>
      <c r="E27">
        <f>VLOOKUP(C27,Active!C$21:E$969,3,FALSE)</f>
        <v>21620.915138037213</v>
      </c>
      <c r="F27" s="15" t="s">
        <v>80</v>
      </c>
      <c r="G27" t="str">
        <f t="shared" si="4"/>
        <v>55940.7312</v>
      </c>
      <c r="H27" s="26">
        <f t="shared" si="5"/>
        <v>21621</v>
      </c>
      <c r="I27" s="52" t="s">
        <v>162</v>
      </c>
      <c r="J27" s="53" t="s">
        <v>163</v>
      </c>
      <c r="K27" s="52" t="s">
        <v>164</v>
      </c>
      <c r="L27" s="52" t="s">
        <v>165</v>
      </c>
      <c r="M27" s="53" t="s">
        <v>106</v>
      </c>
      <c r="N27" s="53" t="s">
        <v>80</v>
      </c>
      <c r="O27" s="54" t="s">
        <v>86</v>
      </c>
      <c r="P27" s="55" t="s">
        <v>166</v>
      </c>
    </row>
    <row r="28" spans="1:16" ht="12.75" customHeight="1" x14ac:dyDescent="0.2">
      <c r="A28" s="26" t="str">
        <f t="shared" si="0"/>
        <v> JAAVSO 41;122 </v>
      </c>
      <c r="B28" s="15" t="str">
        <f t="shared" si="1"/>
        <v>I</v>
      </c>
      <c r="C28" s="26">
        <f t="shared" si="2"/>
        <v>55956.542800000003</v>
      </c>
      <c r="D28" t="str">
        <f t="shared" si="3"/>
        <v>vis</v>
      </c>
      <c r="E28">
        <f>VLOOKUP(C28,Active!C$21:E$969,3,FALSE)</f>
        <v>21633.919125194094</v>
      </c>
      <c r="F28" s="15" t="s">
        <v>80</v>
      </c>
      <c r="G28" t="str">
        <f t="shared" si="4"/>
        <v>55956.5428</v>
      </c>
      <c r="H28" s="26">
        <f t="shared" si="5"/>
        <v>21634</v>
      </c>
      <c r="I28" s="52" t="s">
        <v>167</v>
      </c>
      <c r="J28" s="53" t="s">
        <v>168</v>
      </c>
      <c r="K28" s="52" t="s">
        <v>169</v>
      </c>
      <c r="L28" s="52" t="s">
        <v>156</v>
      </c>
      <c r="M28" s="53" t="s">
        <v>106</v>
      </c>
      <c r="N28" s="53" t="s">
        <v>80</v>
      </c>
      <c r="O28" s="54" t="s">
        <v>142</v>
      </c>
      <c r="P28" s="54" t="s">
        <v>170</v>
      </c>
    </row>
    <row r="29" spans="1:16" ht="12.75" customHeight="1" x14ac:dyDescent="0.2">
      <c r="A29" s="26" t="str">
        <f t="shared" si="0"/>
        <v>IBVS 6042 </v>
      </c>
      <c r="B29" s="15" t="str">
        <f t="shared" si="1"/>
        <v>I</v>
      </c>
      <c r="C29" s="26">
        <f t="shared" si="2"/>
        <v>56245.920700000002</v>
      </c>
      <c r="D29" t="str">
        <f t="shared" si="3"/>
        <v>vis</v>
      </c>
      <c r="E29">
        <f>VLOOKUP(C29,Active!C$21:E$969,3,FALSE)</f>
        <v>21871.913160907439</v>
      </c>
      <c r="F29" s="15" t="s">
        <v>80</v>
      </c>
      <c r="G29" t="str">
        <f t="shared" si="4"/>
        <v>56245.9207</v>
      </c>
      <c r="H29" s="26">
        <f t="shared" si="5"/>
        <v>21872</v>
      </c>
      <c r="I29" s="52" t="s">
        <v>171</v>
      </c>
      <c r="J29" s="53" t="s">
        <v>172</v>
      </c>
      <c r="K29" s="52" t="s">
        <v>173</v>
      </c>
      <c r="L29" s="52" t="s">
        <v>174</v>
      </c>
      <c r="M29" s="53" t="s">
        <v>106</v>
      </c>
      <c r="N29" s="53" t="s">
        <v>80</v>
      </c>
      <c r="O29" s="54" t="s">
        <v>86</v>
      </c>
      <c r="P29" s="55" t="s">
        <v>175</v>
      </c>
    </row>
    <row r="30" spans="1:16" ht="12.75" customHeight="1" x14ac:dyDescent="0.2">
      <c r="A30" s="26" t="str">
        <f t="shared" si="0"/>
        <v> JAAVSO 42;426 </v>
      </c>
      <c r="B30" s="15" t="str">
        <f t="shared" si="1"/>
        <v>I</v>
      </c>
      <c r="C30" s="26">
        <f t="shared" si="2"/>
        <v>56594.884700000002</v>
      </c>
      <c r="D30" t="str">
        <f t="shared" si="3"/>
        <v>vis</v>
      </c>
      <c r="E30">
        <f>VLOOKUP(C30,Active!C$21:E$969,3,FALSE)</f>
        <v>22158.912792457297</v>
      </c>
      <c r="F30" s="15" t="s">
        <v>80</v>
      </c>
      <c r="G30" t="str">
        <f t="shared" si="4"/>
        <v>56594.8847</v>
      </c>
      <c r="H30" s="26">
        <f t="shared" si="5"/>
        <v>22159</v>
      </c>
      <c r="I30" s="52" t="s">
        <v>176</v>
      </c>
      <c r="J30" s="53" t="s">
        <v>177</v>
      </c>
      <c r="K30" s="52" t="s">
        <v>178</v>
      </c>
      <c r="L30" s="52" t="s">
        <v>179</v>
      </c>
      <c r="M30" s="53" t="s">
        <v>106</v>
      </c>
      <c r="N30" s="53" t="s">
        <v>80</v>
      </c>
      <c r="O30" s="54" t="s">
        <v>147</v>
      </c>
      <c r="P30" s="54" t="s">
        <v>180</v>
      </c>
    </row>
    <row r="31" spans="1:16" ht="12.75" customHeight="1" x14ac:dyDescent="0.2">
      <c r="A31" s="26" t="str">
        <f t="shared" si="0"/>
        <v>IBVS 6130 </v>
      </c>
      <c r="B31" s="15" t="str">
        <f t="shared" si="1"/>
        <v>I</v>
      </c>
      <c r="C31" s="26">
        <f t="shared" si="2"/>
        <v>56971.810400000002</v>
      </c>
      <c r="D31" t="str">
        <f t="shared" si="3"/>
        <v>vis</v>
      </c>
      <c r="E31">
        <f>VLOOKUP(C31,Active!C$21:E$969,3,FALSE)</f>
        <v>22468.90905860989</v>
      </c>
      <c r="F31" s="15" t="s">
        <v>80</v>
      </c>
      <c r="G31" t="str">
        <f t="shared" si="4"/>
        <v>56971.8104</v>
      </c>
      <c r="H31" s="26">
        <f t="shared" si="5"/>
        <v>22469</v>
      </c>
      <c r="I31" s="52" t="s">
        <v>181</v>
      </c>
      <c r="J31" s="53" t="s">
        <v>182</v>
      </c>
      <c r="K31" s="52" t="s">
        <v>183</v>
      </c>
      <c r="L31" s="52" t="s">
        <v>184</v>
      </c>
      <c r="M31" s="53" t="s">
        <v>106</v>
      </c>
      <c r="N31" s="53" t="s">
        <v>80</v>
      </c>
      <c r="O31" s="54" t="s">
        <v>185</v>
      </c>
      <c r="P31" s="55" t="s">
        <v>186</v>
      </c>
    </row>
    <row r="32" spans="1:16" ht="12.75" customHeight="1" x14ac:dyDescent="0.2">
      <c r="A32" s="26" t="str">
        <f t="shared" si="0"/>
        <v>IBVS 6130 </v>
      </c>
      <c r="B32" s="15" t="str">
        <f t="shared" si="1"/>
        <v>I</v>
      </c>
      <c r="C32" s="26">
        <f t="shared" si="2"/>
        <v>56977.889000000003</v>
      </c>
      <c r="D32" t="str">
        <f t="shared" si="3"/>
        <v>vis</v>
      </c>
      <c r="E32">
        <f>VLOOKUP(C32,Active!C$21:E$969,3,FALSE)</f>
        <v>22473.908301971209</v>
      </c>
      <c r="F32" s="15" t="s">
        <v>80</v>
      </c>
      <c r="G32" t="str">
        <f t="shared" si="4"/>
        <v>56977.8890</v>
      </c>
      <c r="H32" s="26">
        <f t="shared" si="5"/>
        <v>22474</v>
      </c>
      <c r="I32" s="52" t="s">
        <v>187</v>
      </c>
      <c r="J32" s="53" t="s">
        <v>188</v>
      </c>
      <c r="K32" s="52" t="s">
        <v>189</v>
      </c>
      <c r="L32" s="52" t="s">
        <v>190</v>
      </c>
      <c r="M32" s="53" t="s">
        <v>106</v>
      </c>
      <c r="N32" s="53" t="s">
        <v>80</v>
      </c>
      <c r="O32" s="54" t="s">
        <v>185</v>
      </c>
      <c r="P32" s="55" t="s">
        <v>186</v>
      </c>
    </row>
    <row r="33" spans="1:16" ht="12.75" customHeight="1" x14ac:dyDescent="0.2">
      <c r="A33" s="26" t="str">
        <f t="shared" si="0"/>
        <v> PZ 8.367 </v>
      </c>
      <c r="B33" s="15" t="str">
        <f t="shared" si="1"/>
        <v>II</v>
      </c>
      <c r="C33" s="26">
        <f t="shared" si="2"/>
        <v>29651.348000000002</v>
      </c>
      <c r="D33" t="str">
        <f t="shared" si="3"/>
        <v>vis</v>
      </c>
      <c r="E33">
        <f>VLOOKUP(C33,Active!C$21:E$969,3,FALSE)</f>
        <v>-0.35035660710012967</v>
      </c>
      <c r="F33" s="15" t="s">
        <v>80</v>
      </c>
      <c r="G33" t="str">
        <f t="shared" si="4"/>
        <v>29651.348</v>
      </c>
      <c r="H33" s="26">
        <f t="shared" si="5"/>
        <v>-0.5</v>
      </c>
      <c r="I33" s="52" t="s">
        <v>191</v>
      </c>
      <c r="J33" s="53" t="s">
        <v>192</v>
      </c>
      <c r="K33" s="52">
        <v>-0.5</v>
      </c>
      <c r="L33" s="52" t="s">
        <v>193</v>
      </c>
      <c r="M33" s="53" t="s">
        <v>194</v>
      </c>
      <c r="N33" s="53"/>
      <c r="O33" s="54" t="s">
        <v>195</v>
      </c>
      <c r="P33" s="54" t="s">
        <v>43</v>
      </c>
    </row>
    <row r="34" spans="1:16" ht="12.75" customHeight="1" x14ac:dyDescent="0.2">
      <c r="A34" s="26" t="str">
        <f t="shared" si="0"/>
        <v> PZP 1.433 </v>
      </c>
      <c r="B34" s="15" t="str">
        <f t="shared" si="1"/>
        <v>I</v>
      </c>
      <c r="C34" s="26">
        <f t="shared" si="2"/>
        <v>39060.438000000002</v>
      </c>
      <c r="D34" t="str">
        <f t="shared" si="3"/>
        <v>vis</v>
      </c>
      <c r="E34">
        <f>VLOOKUP(C34,Active!C$21:E$969,3,FALSE)</f>
        <v>7737.999052556781</v>
      </c>
      <c r="F34" s="15" t="s">
        <v>80</v>
      </c>
      <c r="G34" t="str">
        <f t="shared" si="4"/>
        <v>39060.438</v>
      </c>
      <c r="H34" s="26">
        <f t="shared" si="5"/>
        <v>7738</v>
      </c>
      <c r="I34" s="52" t="s">
        <v>196</v>
      </c>
      <c r="J34" s="53" t="s">
        <v>197</v>
      </c>
      <c r="K34" s="52">
        <v>7738</v>
      </c>
      <c r="L34" s="52" t="s">
        <v>198</v>
      </c>
      <c r="M34" s="53" t="s">
        <v>199</v>
      </c>
      <c r="N34" s="53"/>
      <c r="O34" s="54" t="s">
        <v>200</v>
      </c>
      <c r="P34" s="54" t="s">
        <v>46</v>
      </c>
    </row>
    <row r="35" spans="1:16" ht="12.75" customHeight="1" x14ac:dyDescent="0.2">
      <c r="A35" s="26" t="str">
        <f t="shared" si="0"/>
        <v> PZP 1.433 </v>
      </c>
      <c r="B35" s="15" t="str">
        <f t="shared" si="1"/>
        <v>I</v>
      </c>
      <c r="C35" s="26">
        <f t="shared" si="2"/>
        <v>39387.502</v>
      </c>
      <c r="D35" t="str">
        <f t="shared" si="3"/>
        <v>vis</v>
      </c>
      <c r="E35">
        <f>VLOOKUP(C35,Active!C$21:E$969,3,FALSE)</f>
        <v>8006.9873937416096</v>
      </c>
      <c r="F35" s="15" t="s">
        <v>80</v>
      </c>
      <c r="G35" t="str">
        <f t="shared" si="4"/>
        <v>39387.502</v>
      </c>
      <c r="H35" s="26">
        <f t="shared" si="5"/>
        <v>8007</v>
      </c>
      <c r="I35" s="52" t="s">
        <v>201</v>
      </c>
      <c r="J35" s="53" t="s">
        <v>202</v>
      </c>
      <c r="K35" s="52">
        <v>8007</v>
      </c>
      <c r="L35" s="52" t="s">
        <v>203</v>
      </c>
      <c r="M35" s="53" t="s">
        <v>199</v>
      </c>
      <c r="N35" s="53"/>
      <c r="O35" s="54" t="s">
        <v>200</v>
      </c>
      <c r="P35" s="54" t="s">
        <v>46</v>
      </c>
    </row>
    <row r="36" spans="1:16" ht="12.75" customHeight="1" x14ac:dyDescent="0.2">
      <c r="A36" s="26" t="str">
        <f t="shared" si="0"/>
        <v> PZP 1.433 </v>
      </c>
      <c r="B36" s="15" t="str">
        <f t="shared" si="1"/>
        <v>I</v>
      </c>
      <c r="C36" s="26">
        <f t="shared" si="2"/>
        <v>39415.489000000001</v>
      </c>
      <c r="D36" t="str">
        <f t="shared" si="3"/>
        <v>vis</v>
      </c>
      <c r="E36">
        <f>VLOOKUP(C36,Active!C$21:E$969,3,FALSE)</f>
        <v>8030.0048359080974</v>
      </c>
      <c r="F36" s="15" t="s">
        <v>80</v>
      </c>
      <c r="G36" t="str">
        <f t="shared" si="4"/>
        <v>39415.489</v>
      </c>
      <c r="H36" s="26">
        <f t="shared" si="5"/>
        <v>8030</v>
      </c>
      <c r="I36" s="52" t="s">
        <v>204</v>
      </c>
      <c r="J36" s="53" t="s">
        <v>205</v>
      </c>
      <c r="K36" s="52">
        <v>8030</v>
      </c>
      <c r="L36" s="52" t="s">
        <v>206</v>
      </c>
      <c r="M36" s="53" t="s">
        <v>199</v>
      </c>
      <c r="N36" s="53"/>
      <c r="O36" s="54" t="s">
        <v>200</v>
      </c>
      <c r="P36" s="54" t="s">
        <v>46</v>
      </c>
    </row>
    <row r="37" spans="1:16" ht="12.75" customHeight="1" x14ac:dyDescent="0.2">
      <c r="A37" s="26" t="str">
        <f t="shared" si="0"/>
        <v> PZP 1.433 </v>
      </c>
      <c r="B37" s="15" t="str">
        <f t="shared" si="1"/>
        <v>I</v>
      </c>
      <c r="C37" s="26">
        <f t="shared" si="2"/>
        <v>39910.298999999999</v>
      </c>
      <c r="D37" t="str">
        <f t="shared" si="3"/>
        <v>vis</v>
      </c>
      <c r="E37">
        <f>VLOOKUP(C37,Active!C$21:E$969,3,FALSE)</f>
        <v>8436.9530818222465</v>
      </c>
      <c r="F37" s="15" t="s">
        <v>80</v>
      </c>
      <c r="G37" t="str">
        <f t="shared" si="4"/>
        <v>39910.299</v>
      </c>
      <c r="H37" s="26">
        <f t="shared" si="5"/>
        <v>8437</v>
      </c>
      <c r="I37" s="52" t="s">
        <v>207</v>
      </c>
      <c r="J37" s="53" t="s">
        <v>208</v>
      </c>
      <c r="K37" s="52">
        <v>8437</v>
      </c>
      <c r="L37" s="52" t="s">
        <v>209</v>
      </c>
      <c r="M37" s="53" t="s">
        <v>199</v>
      </c>
      <c r="N37" s="53"/>
      <c r="O37" s="54" t="s">
        <v>200</v>
      </c>
      <c r="P37" s="54" t="s">
        <v>46</v>
      </c>
    </row>
    <row r="38" spans="1:16" ht="12.75" customHeight="1" x14ac:dyDescent="0.2">
      <c r="A38" s="26" t="str">
        <f t="shared" si="0"/>
        <v> PZP 1.433 </v>
      </c>
      <c r="B38" s="15" t="str">
        <f t="shared" si="1"/>
        <v>I</v>
      </c>
      <c r="C38" s="26">
        <f t="shared" si="2"/>
        <v>39932.245999999999</v>
      </c>
      <c r="D38" t="str">
        <f t="shared" si="3"/>
        <v>vis</v>
      </c>
      <c r="E38">
        <f>VLOOKUP(C38,Active!C$21:E$969,3,FALSE)</f>
        <v>8455.0030265547248</v>
      </c>
      <c r="F38" s="15" t="s">
        <v>80</v>
      </c>
      <c r="G38" t="str">
        <f t="shared" si="4"/>
        <v>39932.246</v>
      </c>
      <c r="H38" s="26">
        <f t="shared" si="5"/>
        <v>8455</v>
      </c>
      <c r="I38" s="52" t="s">
        <v>210</v>
      </c>
      <c r="J38" s="53" t="s">
        <v>211</v>
      </c>
      <c r="K38" s="52">
        <v>8455</v>
      </c>
      <c r="L38" s="52" t="s">
        <v>212</v>
      </c>
      <c r="M38" s="53" t="s">
        <v>199</v>
      </c>
      <c r="N38" s="53"/>
      <c r="O38" s="54" t="s">
        <v>200</v>
      </c>
      <c r="P38" s="54" t="s">
        <v>46</v>
      </c>
    </row>
    <row r="39" spans="1:16" ht="12.75" customHeight="1" x14ac:dyDescent="0.2">
      <c r="A39" s="26" t="str">
        <f t="shared" si="0"/>
        <v> PZP 1.433 </v>
      </c>
      <c r="B39" s="15" t="str">
        <f t="shared" si="1"/>
        <v>I</v>
      </c>
      <c r="C39" s="26">
        <f t="shared" si="2"/>
        <v>40153.521999999997</v>
      </c>
      <c r="D39" t="str">
        <f t="shared" si="3"/>
        <v>vis</v>
      </c>
      <c r="E39">
        <f>VLOOKUP(C39,Active!C$21:E$969,3,FALSE)</f>
        <v>8636.9877885096157</v>
      </c>
      <c r="F39" s="15" t="s">
        <v>80</v>
      </c>
      <c r="G39" t="str">
        <f t="shared" si="4"/>
        <v>40153.522</v>
      </c>
      <c r="H39" s="26">
        <f t="shared" si="5"/>
        <v>8637</v>
      </c>
      <c r="I39" s="52" t="s">
        <v>213</v>
      </c>
      <c r="J39" s="53" t="s">
        <v>214</v>
      </c>
      <c r="K39" s="52">
        <v>8637</v>
      </c>
      <c r="L39" s="52" t="s">
        <v>203</v>
      </c>
      <c r="M39" s="53" t="s">
        <v>199</v>
      </c>
      <c r="N39" s="53"/>
      <c r="O39" s="54" t="s">
        <v>200</v>
      </c>
      <c r="P39" s="54" t="s">
        <v>46</v>
      </c>
    </row>
    <row r="40" spans="1:16" ht="12.75" customHeight="1" x14ac:dyDescent="0.2">
      <c r="A40" s="26" t="str">
        <f t="shared" si="0"/>
        <v> PZP 1.433 </v>
      </c>
      <c r="B40" s="15" t="str">
        <f t="shared" si="1"/>
        <v>I</v>
      </c>
      <c r="C40" s="26">
        <f t="shared" si="2"/>
        <v>40508.538</v>
      </c>
      <c r="D40" t="str">
        <f t="shared" si="3"/>
        <v>vis</v>
      </c>
      <c r="E40">
        <f>VLOOKUP(C40,Active!C$21:E$969,3,FALSE)</f>
        <v>8928.9647866936848</v>
      </c>
      <c r="F40" s="15" t="s">
        <v>80</v>
      </c>
      <c r="G40" t="str">
        <f t="shared" si="4"/>
        <v>40508.538</v>
      </c>
      <c r="H40" s="26">
        <f t="shared" si="5"/>
        <v>8929</v>
      </c>
      <c r="I40" s="52" t="s">
        <v>215</v>
      </c>
      <c r="J40" s="53" t="s">
        <v>216</v>
      </c>
      <c r="K40" s="52">
        <v>8929</v>
      </c>
      <c r="L40" s="52" t="s">
        <v>217</v>
      </c>
      <c r="M40" s="53" t="s">
        <v>199</v>
      </c>
      <c r="N40" s="53"/>
      <c r="O40" s="54" t="s">
        <v>200</v>
      </c>
      <c r="P40" s="54" t="s">
        <v>46</v>
      </c>
    </row>
    <row r="41" spans="1:16" ht="12.75" customHeight="1" x14ac:dyDescent="0.2">
      <c r="A41" s="26" t="str">
        <f t="shared" si="0"/>
        <v> AOEB 12 </v>
      </c>
      <c r="B41" s="15" t="str">
        <f t="shared" si="1"/>
        <v>II</v>
      </c>
      <c r="C41" s="26">
        <f t="shared" si="2"/>
        <v>43180.673999999999</v>
      </c>
      <c r="D41" t="str">
        <f t="shared" si="3"/>
        <v>vis</v>
      </c>
      <c r="E41">
        <f>VLOOKUP(C41,Active!C$21:E$969,3,FALSE)</f>
        <v>11126.618548832799</v>
      </c>
      <c r="F41" s="15" t="s">
        <v>80</v>
      </c>
      <c r="G41" t="str">
        <f t="shared" si="4"/>
        <v>43180.674</v>
      </c>
      <c r="H41" s="26">
        <f t="shared" si="5"/>
        <v>11126.5</v>
      </c>
      <c r="I41" s="52" t="s">
        <v>218</v>
      </c>
      <c r="J41" s="53" t="s">
        <v>219</v>
      </c>
      <c r="K41" s="52">
        <v>11126.5</v>
      </c>
      <c r="L41" s="52" t="s">
        <v>220</v>
      </c>
      <c r="M41" s="53" t="s">
        <v>221</v>
      </c>
      <c r="N41" s="53"/>
      <c r="O41" s="54" t="s">
        <v>222</v>
      </c>
      <c r="P41" s="54" t="s">
        <v>48</v>
      </c>
    </row>
    <row r="42" spans="1:16" ht="12.75" customHeight="1" x14ac:dyDescent="0.2">
      <c r="A42" s="26" t="str">
        <f t="shared" si="0"/>
        <v> AOEB 12 </v>
      </c>
      <c r="B42" s="15" t="str">
        <f t="shared" si="1"/>
        <v>II</v>
      </c>
      <c r="C42" s="26">
        <f t="shared" si="2"/>
        <v>44616.688000000002</v>
      </c>
      <c r="D42" t="str">
        <f t="shared" si="3"/>
        <v>vis</v>
      </c>
      <c r="E42">
        <f>VLOOKUP(C42,Active!C$21:E$969,3,FALSE)</f>
        <v>12307.644353501591</v>
      </c>
      <c r="F42" s="15" t="s">
        <v>80</v>
      </c>
      <c r="G42" t="str">
        <f t="shared" si="4"/>
        <v>44616.688</v>
      </c>
      <c r="H42" s="26">
        <f t="shared" si="5"/>
        <v>12307.5</v>
      </c>
      <c r="I42" s="52" t="s">
        <v>223</v>
      </c>
      <c r="J42" s="53" t="s">
        <v>224</v>
      </c>
      <c r="K42" s="52">
        <v>12307.5</v>
      </c>
      <c r="L42" s="52" t="s">
        <v>225</v>
      </c>
      <c r="M42" s="53" t="s">
        <v>221</v>
      </c>
      <c r="N42" s="53"/>
      <c r="O42" s="54" t="s">
        <v>226</v>
      </c>
      <c r="P42" s="54" t="s">
        <v>48</v>
      </c>
    </row>
    <row r="43" spans="1:16" ht="12.75" customHeight="1" x14ac:dyDescent="0.2">
      <c r="A43" s="26" t="str">
        <f t="shared" si="0"/>
        <v>IBVS 2875 </v>
      </c>
      <c r="B43" s="15" t="str">
        <f t="shared" si="1"/>
        <v>I</v>
      </c>
      <c r="C43" s="26">
        <f t="shared" si="2"/>
        <v>46012.945099999997</v>
      </c>
      <c r="D43" t="str">
        <f t="shared" si="3"/>
        <v>vis</v>
      </c>
      <c r="E43">
        <f>VLOOKUP(C43,Active!C$21:E$969,3,FALSE)</f>
        <v>13455.972757717711</v>
      </c>
      <c r="F43" s="15" t="s">
        <v>80</v>
      </c>
      <c r="G43" t="str">
        <f t="shared" si="4"/>
        <v>46012.9451</v>
      </c>
      <c r="H43" s="26">
        <f t="shared" si="5"/>
        <v>13456</v>
      </c>
      <c r="I43" s="52" t="s">
        <v>227</v>
      </c>
      <c r="J43" s="53" t="s">
        <v>228</v>
      </c>
      <c r="K43" s="52">
        <v>13456</v>
      </c>
      <c r="L43" s="52" t="s">
        <v>229</v>
      </c>
      <c r="M43" s="53" t="s">
        <v>84</v>
      </c>
      <c r="N43" s="53" t="s">
        <v>85</v>
      </c>
      <c r="O43" s="54" t="s">
        <v>230</v>
      </c>
      <c r="P43" s="55" t="s">
        <v>49</v>
      </c>
    </row>
    <row r="44" spans="1:16" ht="12.75" customHeight="1" x14ac:dyDescent="0.2">
      <c r="A44" s="26" t="str">
        <f t="shared" si="0"/>
        <v> BRNO 32 </v>
      </c>
      <c r="B44" s="15" t="str">
        <f t="shared" si="1"/>
        <v>I</v>
      </c>
      <c r="C44" s="26">
        <f t="shared" si="2"/>
        <v>51585.396800000002</v>
      </c>
      <c r="D44" t="str">
        <f t="shared" si="3"/>
        <v>vis</v>
      </c>
      <c r="E44">
        <f>VLOOKUP(C44,Active!C$21:E$969,3,FALSE)</f>
        <v>18038.942877069243</v>
      </c>
      <c r="F44" s="15" t="s">
        <v>80</v>
      </c>
      <c r="G44" t="str">
        <f t="shared" si="4"/>
        <v>51585.3968</v>
      </c>
      <c r="H44" s="26">
        <f t="shared" si="5"/>
        <v>18039</v>
      </c>
      <c r="I44" s="52" t="s">
        <v>231</v>
      </c>
      <c r="J44" s="53" t="s">
        <v>232</v>
      </c>
      <c r="K44" s="52">
        <v>18039</v>
      </c>
      <c r="L44" s="52" t="s">
        <v>233</v>
      </c>
      <c r="M44" s="53" t="s">
        <v>84</v>
      </c>
      <c r="N44" s="53" t="s">
        <v>85</v>
      </c>
      <c r="O44" s="54" t="s">
        <v>91</v>
      </c>
      <c r="P44" s="54" t="s">
        <v>53</v>
      </c>
    </row>
    <row r="45" spans="1:16" ht="12.75" customHeight="1" x14ac:dyDescent="0.2">
      <c r="A45" s="26" t="str">
        <f t="shared" si="0"/>
        <v> AOEB 12 </v>
      </c>
      <c r="B45" s="15" t="str">
        <f t="shared" si="1"/>
        <v>I</v>
      </c>
      <c r="C45" s="26">
        <f t="shared" si="2"/>
        <v>53371.547200000001</v>
      </c>
      <c r="D45" t="str">
        <f t="shared" si="3"/>
        <v>vis</v>
      </c>
      <c r="E45">
        <f>VLOOKUP(C45,Active!C$21:E$969,3,FALSE)</f>
        <v>19507.932534147432</v>
      </c>
      <c r="F45" s="15" t="s">
        <v>80</v>
      </c>
      <c r="G45" t="str">
        <f t="shared" si="4"/>
        <v>53371.5472</v>
      </c>
      <c r="H45" s="26">
        <f t="shared" si="5"/>
        <v>19508</v>
      </c>
      <c r="I45" s="52" t="s">
        <v>234</v>
      </c>
      <c r="J45" s="53" t="s">
        <v>235</v>
      </c>
      <c r="K45" s="52">
        <v>19508</v>
      </c>
      <c r="L45" s="52" t="s">
        <v>236</v>
      </c>
      <c r="M45" s="53" t="s">
        <v>106</v>
      </c>
      <c r="N45" s="53" t="s">
        <v>123</v>
      </c>
      <c r="O45" s="54" t="s">
        <v>142</v>
      </c>
      <c r="P45" s="54" t="s">
        <v>48</v>
      </c>
    </row>
    <row r="46" spans="1:16" ht="12.75" customHeight="1" x14ac:dyDescent="0.2">
      <c r="A46" s="26" t="str">
        <f t="shared" si="0"/>
        <v>IBVS 5760 </v>
      </c>
      <c r="B46" s="15" t="str">
        <f t="shared" si="1"/>
        <v>I</v>
      </c>
      <c r="C46" s="26">
        <f t="shared" si="2"/>
        <v>54059.743600000002</v>
      </c>
      <c r="D46" t="str">
        <f t="shared" si="3"/>
        <v>vis</v>
      </c>
      <c r="E46" t="e">
        <f>VLOOKUP(C46,Active!C$21:E$969,3,FALSE)</f>
        <v>#N/A</v>
      </c>
      <c r="F46" s="15" t="s">
        <v>80</v>
      </c>
      <c r="G46" t="str">
        <f t="shared" si="4"/>
        <v>54059.7436</v>
      </c>
      <c r="H46" s="26">
        <f t="shared" si="5"/>
        <v>20074</v>
      </c>
      <c r="I46" s="52" t="s">
        <v>237</v>
      </c>
      <c r="J46" s="53" t="s">
        <v>238</v>
      </c>
      <c r="K46" s="52">
        <v>20074</v>
      </c>
      <c r="L46" s="52" t="s">
        <v>239</v>
      </c>
      <c r="M46" s="53" t="s">
        <v>106</v>
      </c>
      <c r="N46" s="53" t="s">
        <v>240</v>
      </c>
      <c r="O46" s="54" t="s">
        <v>241</v>
      </c>
      <c r="P46" s="55" t="s">
        <v>242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4" r:id="rId3" xr:uid="{00000000-0004-0000-0100-000002000000}"/>
    <hyperlink ref="P15" r:id="rId4" xr:uid="{00000000-0004-0000-0100-000003000000}"/>
    <hyperlink ref="P16" r:id="rId5" xr:uid="{00000000-0004-0000-0100-000004000000}"/>
    <hyperlink ref="P17" r:id="rId6" xr:uid="{00000000-0004-0000-0100-000005000000}"/>
    <hyperlink ref="P18" r:id="rId7" xr:uid="{00000000-0004-0000-0100-000006000000}"/>
    <hyperlink ref="P19" r:id="rId8" xr:uid="{00000000-0004-0000-0100-000007000000}"/>
    <hyperlink ref="P20" r:id="rId9" xr:uid="{00000000-0004-0000-0100-000008000000}"/>
    <hyperlink ref="P25" r:id="rId10" xr:uid="{00000000-0004-0000-0100-000009000000}"/>
    <hyperlink ref="P27" r:id="rId11" xr:uid="{00000000-0004-0000-0100-00000A000000}"/>
    <hyperlink ref="P29" r:id="rId12" xr:uid="{00000000-0004-0000-0100-00000B000000}"/>
    <hyperlink ref="P31" r:id="rId13" xr:uid="{00000000-0004-0000-0100-00000C000000}"/>
    <hyperlink ref="P32" r:id="rId14" xr:uid="{00000000-0004-0000-0100-00000D000000}"/>
    <hyperlink ref="P43" r:id="rId15" xr:uid="{00000000-0004-0000-0100-00000E000000}"/>
    <hyperlink ref="P46" r:id="rId16" xr:uid="{00000000-0004-0000-0100-00000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2022-03-31T06:51:47Z</dcterms:created>
  <dcterms:modified xsi:type="dcterms:W3CDTF">2023-12-31T00:00:10Z</dcterms:modified>
</cp:coreProperties>
</file>