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8C59160-F257-423B-859B-103FD298A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9" i="1"/>
  <c r="D9" i="1"/>
  <c r="E22" i="1"/>
  <c r="F22" i="1" s="1"/>
  <c r="G22" i="1" s="1"/>
  <c r="K22" i="1" s="1"/>
  <c r="E23" i="1"/>
  <c r="F23" i="1"/>
  <c r="G23" i="1" s="1"/>
  <c r="K23" i="1" s="1"/>
  <c r="E24" i="1"/>
  <c r="F24" i="1" s="1"/>
  <c r="G24" i="1" s="1"/>
  <c r="K24" i="1" s="1"/>
  <c r="E25" i="1"/>
  <c r="F25" i="1"/>
  <c r="G25" i="1" s="1"/>
  <c r="K25" i="1" s="1"/>
  <c r="E26" i="1"/>
  <c r="F26" i="1" s="1"/>
  <c r="G26" i="1" s="1"/>
  <c r="K26" i="1" s="1"/>
  <c r="F16" i="1"/>
  <c r="F17" i="1" s="1"/>
  <c r="C21" i="1"/>
  <c r="Q21" i="1" s="1"/>
  <c r="A21" i="1"/>
  <c r="Q22" i="1"/>
  <c r="Q23" i="1"/>
  <c r="Q24" i="1"/>
  <c r="Q25" i="1"/>
  <c r="Q26" i="1"/>
  <c r="C11" i="1"/>
  <c r="C12" i="1"/>
  <c r="E21" i="1" l="1"/>
  <c r="F21" i="1" s="1"/>
  <c r="G21" i="1" s="1"/>
  <c r="I21" i="1" s="1"/>
  <c r="C17" i="1"/>
  <c r="C16" i="1"/>
  <c r="D18" i="1" s="1"/>
  <c r="O25" i="1"/>
  <c r="S25" i="1" s="1"/>
  <c r="O27" i="1"/>
  <c r="S27" i="1" s="1"/>
  <c r="O26" i="1"/>
  <c r="S26" i="1" s="1"/>
  <c r="O22" i="1"/>
  <c r="S22" i="1" s="1"/>
  <c r="O23" i="1"/>
  <c r="S23" i="1" s="1"/>
  <c r="O24" i="1"/>
  <c r="S24" i="1" s="1"/>
  <c r="O21" i="1" l="1"/>
  <c r="S21" i="1" s="1"/>
  <c r="S19" i="1" s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<sst xmlns="http://schemas.openxmlformats.org/spreadsheetml/2006/main" count="65" uniqueCount="58">
  <si>
    <t>V1377 Tau / GSC 0067-0348</t>
  </si>
  <si>
    <t>G0067-0348_Tau.xls</t>
  </si>
  <si>
    <t>System Type:</t>
  </si>
  <si>
    <t>EC</t>
  </si>
  <si>
    <t>Constell:</t>
  </si>
  <si>
    <t>Tau</t>
  </si>
  <si>
    <t>G0067-0348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</si>
  <si>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</si>
  <si>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</si>
  <si>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</si>
  <si>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</si>
  <si>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</si>
  <si>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</si>
  <si>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</si>
  <si>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</si>
  <si>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</si>
  <si>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</si>
  <si>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</si>
  <si>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</si>
  <si>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</si>
  <si>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</si>
  <si>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</si>
  <si>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</si>
  <si>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</si>
  <si>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</si>
  <si>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</si>
  <si>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</si>
  <si>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</si>
  <si>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</si>
  <si>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</si>
  <si>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</si>
  <si>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</si>
  <si>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</si>
  <si>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</si>
  <si>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</si>
  <si>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</si>
  <si>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</si>
  <si>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</si>
  <si>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S5</t>
  </si>
  <si>
    <t>S6</t>
  </si>
  <si>
    <t>Misc</t>
  </si>
  <si>
    <t>Lin Fit</t>
  </si>
  <si>
    <t>Q. Fit</t>
  </si>
  <si>
    <t>Date</t>
  </si>
  <si>
    <t>BAD</t>
  </si>
  <si>
    <t>IBVS 5920</t>
  </si>
  <si>
    <t>I</t>
  </si>
  <si>
    <t>IBVS 5960</t>
  </si>
  <si>
    <t>II</t>
  </si>
  <si>
    <t>IBVS 6011</t>
  </si>
  <si>
    <t>IBVS 6042</t>
  </si>
  <si>
    <t>VSB 067</t>
  </si>
  <si>
    <t>V</t>
  </si>
  <si>
    <t>pg</t>
  </si>
  <si>
    <t>vis</t>
  </si>
  <si>
    <t>PE</t>
  </si>
  <si>
    <t>CCD</t>
  </si>
  <si>
    <t>RHN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</si>
</sst>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&quot;($&quot;#,##0\)"/>
  </numFmts>
  <fonts count="13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</cellStyleXfs>
  <cellXfs count="3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2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4" fontId="0" fillId="0" borderId="0" xfId="0" applyNumberFormat="1" applyAlignment="1"/>
    <xf numFmtId="14" fontId="0" fillId="0" borderId="3" xfId="0" applyNumberFormat="1" applyBorder="1" applyAlignment="1">
      <alignment horizontal="center"/>
    </xf>
    <xf numFmtId="14" fontId="7" fillId="0" borderId="0" xfId="0" applyNumberFormat="1" applyFont="1">
      <alignment vertical="top"/>
    </xf>
    <xf numFmtId="0" fontId="11" fillId="0" borderId="0" xfId="0" applyFont="1" applyAlignment="1">
      <alignment horizontal="left" vertical="center"/>
    </xf>
  </cellXfs>
  <cellStyles count="5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V1377 Tau - O-C Diagr.</a:t>
            </a:r>
          </a:p>
        </c:rich>
      </c:tx>
      <c:layout>
        <c:manualLayout>
          <c:xMode val="edge"/>
          <c:yMode val="edge"/>
          <c:x val="0.3593984962406014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187969924812"/>
          <c:y val="0.13213251962661771"/>
          <c:w val="0.85112781954887218"/>
          <c:h val="0.7057077752785264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Active!$H$21:$H$26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1-46C5-AF88-C88BB5DC9D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Active!$I$21:$I$26</c:f>
              <c:numCache>
                <c:formatCode>General</c:formatCode>
                <c:ptCount val="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1-46C5-AF88-C88BB5DC9D8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Active!$J$21:$J$26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11-46C5-AF88-C88BB5DC9D8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Active!$F$21:$F$260</c:f>
              <c:numCache>
                <c:formatCode>General</c:formatCode>
                <c:ptCount val="240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  <c:pt idx="6">
                  <c:v>27154.5</c:v>
                </c:pt>
              </c:numCache>
            </c:numRef>
          </c:xVal>
          <c:yVal>
            <c:numRef>
              <c:f>Active!$K$21:$K$260</c:f>
              <c:numCache>
                <c:formatCode>General</c:formatCode>
                <c:ptCount val="240"/>
                <c:pt idx="1">
                  <c:v>2.7430000045569614E-3</c:v>
                </c:pt>
                <c:pt idx="2">
                  <c:v>3.8835000013932586E-3</c:v>
                </c:pt>
                <c:pt idx="3">
                  <c:v>6.3039999949978665E-3</c:v>
                </c:pt>
                <c:pt idx="4">
                  <c:v>7.7390000005834736E-3</c:v>
                </c:pt>
                <c:pt idx="5">
                  <c:v>1.5880999999353662E-2</c:v>
                </c:pt>
                <c:pt idx="6">
                  <c:v>2.0259500000975095E-2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11-46C5-AF88-C88BB5DC9D8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Active!$L$21:$L$26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11-46C5-AF88-C88BB5DC9D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Active!$M$21:$M$26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11-46C5-AF88-C88BB5DC9D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Active!$N$21:$N$26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11-46C5-AF88-C88BB5DC9D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Active!$O$21:$O$26</c:f>
              <c:numCache>
                <c:formatCode>General</c:formatCode>
                <c:ptCount val="6"/>
                <c:pt idx="0">
                  <c:v>-9.3221808940755248E-3</c:v>
                </c:pt>
                <c:pt idx="1">
                  <c:v>3.0794513361720351E-3</c:v>
                </c:pt>
                <c:pt idx="2">
                  <c:v>4.4141297205817238E-3</c:v>
                </c:pt>
                <c:pt idx="3">
                  <c:v>5.6202160486853812E-3</c:v>
                </c:pt>
                <c:pt idx="4">
                  <c:v>7.2115427454725253E-3</c:v>
                </c:pt>
                <c:pt idx="5">
                  <c:v>1.6708066103672984E-2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11-46C5-AF88-C88BB5DC9D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11573</c:v>
                </c:pt>
                <c:pt idx="2">
                  <c:v>12818.5</c:v>
                </c:pt>
                <c:pt idx="3">
                  <c:v>13944</c:v>
                </c:pt>
                <c:pt idx="4">
                  <c:v>15429</c:v>
                </c:pt>
                <c:pt idx="5">
                  <c:v>24291</c:v>
                </c:pt>
              </c:numCache>
            </c:numRef>
          </c:xVal>
          <c:yVal>
            <c:numRef>
              <c:f>Active!$R$21:$R$26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11-46C5-AF88-C88BB5DC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486760"/>
        <c:axId val="1"/>
      </c:scatterChart>
      <c:valAx>
        <c:axId val="1254486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1278195488721803"/>
              <c:y val="0.906909429114153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187969924812026E-3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486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84962406015036"/>
          <c:y val="0.92492776240807739"/>
          <c:w val="0.733834586466165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696599-B049-A2E9-34C3-114687E4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2" style="1" customWidth="1"/>
    <col min="6" max="6" width="14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31" customWidth="1"/>
    <col min="18" max="16384" width="10.28515625" style="1"/>
  </cols>
  <sheetData>
    <row r="1" spans="1:6" ht="20.25" x14ac:dyDescent="0.3">
      <c r="A1" s="2" t="s">
        <v>0</v>
      </c>
      <c r="E1" s="1" t="s">
        <v>1</v>
      </c>
    </row>
    <row r="2" spans="1:6" x14ac:dyDescent="0.2">
      <c r="A2" s="1" t="s">
        <v>2</v>
      </c>
      <c r="B2" s="1" t="s">
        <v>3</v>
      </c>
      <c r="C2" s="3" t="s">
        <v>4</v>
      </c>
      <c r="D2" s="4" t="s">
        <v>5</v>
      </c>
      <c r="E2" s="5" t="s">
        <v>6</v>
      </c>
      <c r="F2" s="1" t="s">
        <v>6</v>
      </c>
    </row>
    <row r="4" spans="1:6" x14ac:dyDescent="0.2">
      <c r="A4" s="6" t="s">
        <v>7</v>
      </c>
      <c r="C4" s="7" t="s">
        <v>8</v>
      </c>
      <c r="D4" s="8" t="s">
        <v>8</v>
      </c>
    </row>
    <row r="5" spans="1:6" x14ac:dyDescent="0.2">
      <c r="A5" s="11" t="s">
        <v>13</v>
      </c>
      <c r="B5"/>
      <c r="C5" s="12">
        <v>-9.5</v>
      </c>
      <c r="D5" t="s">
        <v>14</v>
      </c>
      <c r="E5"/>
    </row>
    <row r="6" spans="1:6" x14ac:dyDescent="0.2">
      <c r="A6" s="6" t="s">
        <v>9</v>
      </c>
    </row>
    <row r="7" spans="1:6" x14ac:dyDescent="0.2">
      <c r="A7" s="1" t="s">
        <v>10</v>
      </c>
      <c r="C7" s="9">
        <v>51920.764999999999</v>
      </c>
      <c r="D7" s="10" t="s">
        <v>11</v>
      </c>
    </row>
    <row r="8" spans="1:6" x14ac:dyDescent="0.2">
      <c r="A8" s="1" t="s">
        <v>12</v>
      </c>
      <c r="C8" s="9">
        <v>0.28270899999999999</v>
      </c>
      <c r="D8" s="10" t="s">
        <v>11</v>
      </c>
    </row>
    <row r="9" spans="1:6" x14ac:dyDescent="0.2">
      <c r="A9" s="17" t="s">
        <v>30</v>
      </c>
      <c r="C9" s="22">
        <v>22</v>
      </c>
      <c r="D9" s="15" t="str">
        <f>"F"&amp;C9</f>
        <v>F22</v>
      </c>
      <c r="E9" s="16" t="str">
        <f>"G"&amp;C9</f>
        <v>G22</v>
      </c>
    </row>
    <row r="10" spans="1:6" x14ac:dyDescent="0.2">
      <c r="A10"/>
      <c r="B10"/>
      <c r="C10" s="13" t="s">
        <v>15</v>
      </c>
      <c r="D10" s="13" t="s">
        <v>16</v>
      </c>
      <c r="E10"/>
    </row>
    <row r="11" spans="1:6" x14ac:dyDescent="0.2">
      <c r="A11" t="s">
        <v>17</v>
      </c>
      <c r="B11"/>
      <c r="C11" s="14">
        <f ca="1">INTERCEPT(INDIRECT($E$9):G991,INDIRECT($D$9):F991)</f>
        <v>-9.3221808940755248E-3</v>
      </c>
      <c r="D11" s="4"/>
      <c r="E11"/>
    </row>
    <row r="12" spans="1:6" x14ac:dyDescent="0.2">
      <c r="A12" t="s">
        <v>18</v>
      </c>
      <c r="B12"/>
      <c r="C12" s="14">
        <f ca="1">SLOPE(INDIRECT($E$9):G991,INDIRECT($D$9):F991)</f>
        <v>1.0716004692169325E-6</v>
      </c>
      <c r="D12" s="4"/>
      <c r="E12"/>
    </row>
    <row r="13" spans="1:6" x14ac:dyDescent="0.2">
      <c r="A13" t="s">
        <v>19</v>
      </c>
      <c r="B13"/>
      <c r="C13" s="4" t="s">
        <v>20</v>
      </c>
    </row>
    <row r="14" spans="1:6" x14ac:dyDescent="0.2">
      <c r="A14"/>
      <c r="B14"/>
      <c r="C14"/>
    </row>
    <row r="15" spans="1:6" x14ac:dyDescent="0.2">
      <c r="A15" s="18" t="s">
        <v>23</v>
      </c>
      <c r="B15"/>
      <c r="C15" s="19">
        <f ca="1">(C7+C11)+(C8+C12)*INT(MAX(F21:F3532))</f>
        <v>59597.46496205825</v>
      </c>
      <c r="E15" s="17" t="s">
        <v>21</v>
      </c>
      <c r="F15" s="12">
        <v>1</v>
      </c>
    </row>
    <row r="16" spans="1:6" x14ac:dyDescent="0.2">
      <c r="A16" s="18" t="s">
        <v>25</v>
      </c>
      <c r="B16"/>
      <c r="C16" s="19">
        <f ca="1">+C8+C12</f>
        <v>0.28271007160046918</v>
      </c>
      <c r="E16" s="17" t="s">
        <v>22</v>
      </c>
      <c r="F16" s="14">
        <f ca="1">NOW()+15018.5+$C$5/24</f>
        <v>60312.723411458333</v>
      </c>
    </row>
    <row r="17" spans="1:19" x14ac:dyDescent="0.2">
      <c r="A17" s="17" t="s">
        <v>27</v>
      </c>
      <c r="B17"/>
      <c r="C17">
        <f>COUNT(C21:C2190)</f>
        <v>7</v>
      </c>
      <c r="E17" s="17" t="s">
        <v>24</v>
      </c>
      <c r="F17" s="14">
        <f ca="1">ROUND(2*(F16-$C$7)/$C$8,0)/2+F15</f>
        <v>29685</v>
      </c>
    </row>
    <row r="18" spans="1:19" x14ac:dyDescent="0.2">
      <c r="A18" s="18" t="s">
        <v>29</v>
      </c>
      <c r="B18"/>
      <c r="C18" s="20">
        <f ca="1">+C15</f>
        <v>59597.46496205825</v>
      </c>
      <c r="D18" s="21">
        <f ca="1">+C16</f>
        <v>0.28271007160046918</v>
      </c>
      <c r="E18" s="17" t="s">
        <v>26</v>
      </c>
      <c r="F18" s="16">
        <f ca="1">ROUND(2*(F16-$C$15)/$C$16,0)/2+F15</f>
        <v>2531</v>
      </c>
    </row>
    <row r="19" spans="1:19" x14ac:dyDescent="0.2">
      <c r="E19" s="17" t="s">
        <v>28</v>
      </c>
      <c r="F19" s="33">
        <f ca="1">+$C$15+$C$16*F18-15018.5-$C$5/24</f>
        <v>45294.89998661237</v>
      </c>
      <c r="S19" s="1">
        <f ca="1">SQRT(SUM(S21:S49)/(COUNT(S21:S49)-1))</f>
        <v>3.8505590970995041E-3</v>
      </c>
    </row>
    <row r="20" spans="1:19" x14ac:dyDescent="0.2">
      <c r="A20" s="13" t="s">
        <v>31</v>
      </c>
      <c r="B20" s="13" t="s">
        <v>32</v>
      </c>
      <c r="C20" s="13" t="s">
        <v>33</v>
      </c>
      <c r="D20" s="13" t="s">
        <v>34</v>
      </c>
      <c r="E20" s="13" t="s">
        <v>35</v>
      </c>
      <c r="F20" s="13" t="s">
        <v>36</v>
      </c>
      <c r="G20" s="13" t="s">
        <v>37</v>
      </c>
      <c r="H20" s="23" t="s">
        <v>53</v>
      </c>
      <c r="I20" s="23" t="s">
        <v>54</v>
      </c>
      <c r="J20" s="23" t="s">
        <v>55</v>
      </c>
      <c r="K20" s="23" t="s">
        <v>56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32" t="s">
        <v>43</v>
      </c>
      <c r="R20" s="24" t="s">
        <v>44</v>
      </c>
    </row>
    <row r="21" spans="1:19" x14ac:dyDescent="0.2">
      <c r="A21" s="1" t="str">
        <f>D7</f>
        <v>VSX</v>
      </c>
      <c r="C21" s="9">
        <f>C$7</f>
        <v>51920.764999999999</v>
      </c>
      <c r="D21" s="9" t="s">
        <v>20</v>
      </c>
      <c r="E21" s="1">
        <f t="shared" ref="E21:E26" si="0">+(C21-C$7)/C$8</f>
        <v>0</v>
      </c>
      <c r="F21" s="1">
        <f t="shared" ref="F21:F27" si="1">ROUND(2*E21,0)/2</f>
        <v>0</v>
      </c>
      <c r="G21" s="1">
        <f t="shared" ref="G21:G26" si="2">+C21-(C$7+F21*C$8)</f>
        <v>0</v>
      </c>
      <c r="I21" s="1">
        <f>+G21</f>
        <v>0</v>
      </c>
      <c r="O21" s="1">
        <f t="shared" ref="O21:O26" ca="1" si="3">+C$11+C$12*$F21</f>
        <v>-9.3221808940755248E-3</v>
      </c>
      <c r="Q21" s="31">
        <f t="shared" ref="Q21:Q26" si="4">+C21-15018.5</f>
        <v>36902.264999999999</v>
      </c>
      <c r="S21" s="1">
        <f t="shared" ref="S21:S26" ca="1" si="5">+(O21-G21)^2</f>
        <v>8.6903056621866746E-5</v>
      </c>
    </row>
    <row r="22" spans="1:19" x14ac:dyDescent="0.2">
      <c r="A22" s="25" t="s">
        <v>45</v>
      </c>
      <c r="B22" s="26" t="s">
        <v>46</v>
      </c>
      <c r="C22" s="25">
        <v>55192.559000000001</v>
      </c>
      <c r="D22" s="25">
        <v>2.9999999999999997E-4</v>
      </c>
      <c r="E22" s="1">
        <f t="shared" si="0"/>
        <v>11573.009702556345</v>
      </c>
      <c r="F22" s="1">
        <f t="shared" si="1"/>
        <v>11573</v>
      </c>
      <c r="G22" s="1">
        <f t="shared" si="2"/>
        <v>2.7430000045569614E-3</v>
      </c>
      <c r="K22" s="1">
        <f t="shared" ref="K22:K27" si="6">+G22</f>
        <v>2.7430000045569614E-3</v>
      </c>
      <c r="O22" s="1">
        <f t="shared" ca="1" si="3"/>
        <v>3.0794513361720351E-3</v>
      </c>
      <c r="Q22" s="31">
        <f t="shared" si="4"/>
        <v>40174.059000000001</v>
      </c>
      <c r="S22" s="1">
        <f t="shared" ca="1" si="5"/>
        <v>1.1319949854555629E-7</v>
      </c>
    </row>
    <row r="23" spans="1:19" x14ac:dyDescent="0.2">
      <c r="A23" s="25" t="s">
        <v>47</v>
      </c>
      <c r="B23" s="26" t="s">
        <v>48</v>
      </c>
      <c r="C23" s="25">
        <v>55544.674200000001</v>
      </c>
      <c r="D23" s="25">
        <v>5.0000000000000001E-4</v>
      </c>
      <c r="E23" s="1">
        <f t="shared" si="0"/>
        <v>12818.513736739906</v>
      </c>
      <c r="F23" s="1">
        <f t="shared" si="1"/>
        <v>12818.5</v>
      </c>
      <c r="G23" s="1">
        <f t="shared" si="2"/>
        <v>3.8835000013932586E-3</v>
      </c>
      <c r="K23" s="1">
        <f t="shared" si="6"/>
        <v>3.8835000013932586E-3</v>
      </c>
      <c r="O23" s="1">
        <f t="shared" ca="1" si="3"/>
        <v>4.4141297205817238E-3</v>
      </c>
      <c r="Q23" s="31">
        <f t="shared" si="4"/>
        <v>40526.174200000001</v>
      </c>
      <c r="S23" s="1">
        <f t="shared" ca="1" si="5"/>
        <v>2.8156789888602944E-7</v>
      </c>
    </row>
    <row r="24" spans="1:19" x14ac:dyDescent="0.2">
      <c r="A24" s="25" t="s">
        <v>49</v>
      </c>
      <c r="B24" s="26" t="s">
        <v>46</v>
      </c>
      <c r="C24" s="25">
        <v>55862.865599999997</v>
      </c>
      <c r="D24" s="25">
        <v>4.0000000000000002E-4</v>
      </c>
      <c r="E24" s="1">
        <f t="shared" si="0"/>
        <v>13944.022298547263</v>
      </c>
      <c r="F24" s="1">
        <f t="shared" si="1"/>
        <v>13944</v>
      </c>
      <c r="G24" s="1">
        <f t="shared" si="2"/>
        <v>6.3039999949978665E-3</v>
      </c>
      <c r="K24" s="1">
        <f t="shared" si="6"/>
        <v>6.3039999949978665E-3</v>
      </c>
      <c r="O24" s="1">
        <f t="shared" ca="1" si="3"/>
        <v>5.6202160486853812E-3</v>
      </c>
      <c r="Q24" s="31">
        <f t="shared" si="4"/>
        <v>40844.365599999997</v>
      </c>
      <c r="S24" s="1">
        <f t="shared" ca="1" si="5"/>
        <v>4.6756048523467577E-7</v>
      </c>
    </row>
    <row r="25" spans="1:19" x14ac:dyDescent="0.2">
      <c r="A25" s="27" t="s">
        <v>50</v>
      </c>
      <c r="B25" s="28" t="s">
        <v>46</v>
      </c>
      <c r="C25" s="29">
        <v>56282.689899999998</v>
      </c>
      <c r="D25" s="29">
        <v>3.0000000000000003E-4</v>
      </c>
      <c r="E25" s="1">
        <f t="shared" si="0"/>
        <v>15429.027374438021</v>
      </c>
      <c r="F25" s="1">
        <f t="shared" si="1"/>
        <v>15429</v>
      </c>
      <c r="G25" s="1">
        <f t="shared" si="2"/>
        <v>7.7390000005834736E-3</v>
      </c>
      <c r="K25" s="1">
        <f t="shared" si="6"/>
        <v>7.7390000005834736E-3</v>
      </c>
      <c r="O25" s="1">
        <f t="shared" ca="1" si="3"/>
        <v>7.2115427454725253E-3</v>
      </c>
      <c r="Q25" s="31">
        <f t="shared" si="4"/>
        <v>41264.189899999998</v>
      </c>
      <c r="S25" s="1">
        <f t="shared" ca="1" si="5"/>
        <v>2.7821115596917595E-7</v>
      </c>
    </row>
    <row r="26" spans="1:19" x14ac:dyDescent="0.2">
      <c r="A26" s="30" t="s">
        <v>51</v>
      </c>
      <c r="B26" s="28" t="s">
        <v>46</v>
      </c>
      <c r="C26" s="29">
        <v>58788.065199999997</v>
      </c>
      <c r="D26" s="29" t="s">
        <v>52</v>
      </c>
      <c r="E26" s="1">
        <f t="shared" si="0"/>
        <v>24291.056174370104</v>
      </c>
      <c r="F26" s="1">
        <f t="shared" si="1"/>
        <v>24291</v>
      </c>
      <c r="G26" s="1">
        <f t="shared" si="2"/>
        <v>1.5880999999353662E-2</v>
      </c>
      <c r="K26" s="1">
        <f t="shared" si="6"/>
        <v>1.5880999999353662E-2</v>
      </c>
      <c r="O26" s="1">
        <f t="shared" ca="1" si="3"/>
        <v>1.6708066103672984E-2</v>
      </c>
      <c r="Q26" s="31">
        <f t="shared" si="4"/>
        <v>43769.565199999997</v>
      </c>
      <c r="S26" s="1">
        <f t="shared" ca="1" si="5"/>
        <v>6.8403834091393933E-7</v>
      </c>
    </row>
    <row r="27" spans="1:19" x14ac:dyDescent="0.2">
      <c r="A27" s="34" t="s">
        <v>57</v>
      </c>
      <c r="C27" s="9">
        <v>59597.606800000001</v>
      </c>
      <c r="D27" s="9">
        <v>2.0000000000000001E-4</v>
      </c>
      <c r="E27" s="1">
        <f>+(C27-C$7)/C$8</f>
        <v>27154.57166202704</v>
      </c>
      <c r="F27" s="1">
        <f t="shared" si="1"/>
        <v>27154.5</v>
      </c>
      <c r="G27" s="1">
        <f>+C27-(C$7+F27*C$8)</f>
        <v>2.0259500000975095E-2</v>
      </c>
      <c r="K27" s="1">
        <f t="shared" si="6"/>
        <v>2.0259500000975095E-2</v>
      </c>
      <c r="O27" s="1">
        <f ca="1">+C$11+C$12*$F27</f>
        <v>1.9776594047275668E-2</v>
      </c>
      <c r="Q27" s="31">
        <f>+C27-15018.5</f>
        <v>44579.106800000001</v>
      </c>
      <c r="S27" s="1">
        <f ca="1">+(O27-G27)^2</f>
        <v>2.3319816011835334E-7</v>
      </c>
    </row>
  </sheetData>
  <sheetProtection selectLockedCells="1" selectUnlockedCells="1"/>
  <phoneticPr fontId="1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2023-09-25T05:48:30Z</dcterms:created>
  <dcterms:modified xsi:type="dcterms:W3CDTF">2024-01-03T04:21:42Z</dcterms:modified>
</cp:coreProperties>
</file>