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E62E62-8420-4C85-93B2-34A770B05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49" i="1" l="1"/>
  <c r="F49" i="1" s="1"/>
  <c r="Q49" i="1"/>
  <c r="C7" i="1"/>
  <c r="C8" i="1"/>
  <c r="C9" i="1"/>
  <c r="D9" i="1"/>
  <c r="D11" i="1"/>
  <c r="D12" i="1"/>
  <c r="D1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E35" i="1"/>
  <c r="F35" i="1" s="1"/>
  <c r="G35" i="1" s="1"/>
  <c r="K35" i="1" s="1"/>
  <c r="Q35" i="1"/>
  <c r="Q36" i="1"/>
  <c r="Q37" i="1"/>
  <c r="Q38" i="1"/>
  <c r="Q39" i="1"/>
  <c r="Q40" i="1"/>
  <c r="Q41" i="1"/>
  <c r="Q42" i="1"/>
  <c r="Q44" i="1"/>
  <c r="Q46" i="1"/>
  <c r="Q48" i="1"/>
  <c r="E45" i="1"/>
  <c r="F45" i="1"/>
  <c r="G45" i="1" s="1"/>
  <c r="K45" i="1" s="1"/>
  <c r="Q45" i="1"/>
  <c r="Q43" i="1"/>
  <c r="Q47" i="1"/>
  <c r="A11" i="2"/>
  <c r="B11" i="2"/>
  <c r="D11" i="2"/>
  <c r="G11" i="2"/>
  <c r="C11" i="2"/>
  <c r="H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C25" i="2"/>
  <c r="D25" i="2"/>
  <c r="G25" i="2"/>
  <c r="H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E21" i="2"/>
  <c r="E47" i="1"/>
  <c r="F47" i="1" s="1"/>
  <c r="G47" i="1" s="1"/>
  <c r="K47" i="1" s="1"/>
  <c r="E37" i="1"/>
  <c r="E22" i="2" s="1"/>
  <c r="E43" i="1"/>
  <c r="F43" i="1" s="1"/>
  <c r="U43" i="1" s="1"/>
  <c r="E36" i="1"/>
  <c r="F36" i="1"/>
  <c r="G36" i="1" s="1"/>
  <c r="K36" i="1" s="1"/>
  <c r="E31" i="1"/>
  <c r="F31" i="1" s="1"/>
  <c r="G31" i="1" s="1"/>
  <c r="J31" i="1" s="1"/>
  <c r="E27" i="1"/>
  <c r="F27" i="1" s="1"/>
  <c r="G27" i="1" s="1"/>
  <c r="K27" i="1" s="1"/>
  <c r="E23" i="1"/>
  <c r="F23" i="1" s="1"/>
  <c r="G23" i="1" s="1"/>
  <c r="K23" i="1" s="1"/>
  <c r="E48" i="1"/>
  <c r="F48" i="1" s="1"/>
  <c r="G48" i="1" s="1"/>
  <c r="K48" i="1" s="1"/>
  <c r="E34" i="1"/>
  <c r="E19" i="2" s="1"/>
  <c r="E30" i="1"/>
  <c r="E15" i="2" s="1"/>
  <c r="F30" i="1"/>
  <c r="G30" i="1" s="1"/>
  <c r="K30" i="1" s="1"/>
  <c r="E26" i="1"/>
  <c r="F26" i="1" s="1"/>
  <c r="G26" i="1" s="1"/>
  <c r="J26" i="1" s="1"/>
  <c r="E22" i="1"/>
  <c r="F22" i="1"/>
  <c r="G22" i="1" s="1"/>
  <c r="J22" i="1" s="1"/>
  <c r="E46" i="1"/>
  <c r="F46" i="1" s="1"/>
  <c r="G46" i="1" s="1"/>
  <c r="K46" i="1" s="1"/>
  <c r="E41" i="1"/>
  <c r="F41" i="1" s="1"/>
  <c r="U41" i="1" s="1"/>
  <c r="E44" i="1"/>
  <c r="F44" i="1" s="1"/>
  <c r="G44" i="1" s="1"/>
  <c r="K44" i="1" s="1"/>
  <c r="E40" i="1"/>
  <c r="F40" i="1" s="1"/>
  <c r="G40" i="1" s="1"/>
  <c r="J40" i="1" s="1"/>
  <c r="E33" i="1"/>
  <c r="E18" i="2" s="1"/>
  <c r="E29" i="1"/>
  <c r="F29" i="1" s="1"/>
  <c r="G29" i="1" s="1"/>
  <c r="J29" i="1" s="1"/>
  <c r="E25" i="1"/>
  <c r="F25" i="1" s="1"/>
  <c r="G25" i="1" s="1"/>
  <c r="K25" i="1" s="1"/>
  <c r="E21" i="1"/>
  <c r="F21" i="1" s="1"/>
  <c r="E42" i="1"/>
  <c r="F42" i="1" s="1"/>
  <c r="G42" i="1" s="1"/>
  <c r="K42" i="1" s="1"/>
  <c r="E39" i="1"/>
  <c r="F39" i="1" s="1"/>
  <c r="G39" i="1" s="1"/>
  <c r="J39" i="1" s="1"/>
  <c r="E38" i="1"/>
  <c r="F38" i="1" s="1"/>
  <c r="G38" i="1" s="1"/>
  <c r="K38" i="1" s="1"/>
  <c r="E32" i="1"/>
  <c r="E17" i="2" s="1"/>
  <c r="E28" i="1"/>
  <c r="F28" i="1"/>
  <c r="G28" i="1" s="1"/>
  <c r="K28" i="1" s="1"/>
  <c r="E24" i="1"/>
  <c r="F24" i="1" s="1"/>
  <c r="G24" i="1" s="1"/>
  <c r="K24" i="1" s="1"/>
  <c r="E14" i="2"/>
  <c r="E13" i="2"/>
  <c r="E24" i="2"/>
  <c r="E11" i="2"/>
  <c r="P33" i="1" l="1"/>
  <c r="R33" i="1" s="1"/>
  <c r="T33" i="1" s="1"/>
  <c r="F33" i="1"/>
  <c r="G33" i="1" s="1"/>
  <c r="J33" i="1" s="1"/>
  <c r="G49" i="1"/>
  <c r="K49" i="1" s="1"/>
  <c r="P49" i="1"/>
  <c r="R49" i="1" s="1"/>
  <c r="T49" i="1" s="1"/>
  <c r="E25" i="2"/>
  <c r="W31" i="1"/>
  <c r="F37" i="1"/>
  <c r="G37" i="1" s="1"/>
  <c r="K37" i="1" s="1"/>
  <c r="E23" i="2"/>
  <c r="E12" i="2"/>
  <c r="G21" i="1"/>
  <c r="J21" i="1" s="1"/>
  <c r="P21" i="1"/>
  <c r="E16" i="2"/>
  <c r="F32" i="1"/>
  <c r="G32" i="1" s="1"/>
  <c r="J32" i="1" s="1"/>
  <c r="F34" i="1"/>
  <c r="G34" i="1" s="1"/>
  <c r="K34" i="1" s="1"/>
  <c r="E20" i="2"/>
  <c r="P29" i="1"/>
  <c r="R29" i="1" s="1"/>
  <c r="T29" i="1" s="1"/>
  <c r="P48" i="1"/>
  <c r="R48" i="1" s="1"/>
  <c r="T48" i="1" s="1"/>
  <c r="W17" i="1"/>
  <c r="P39" i="1"/>
  <c r="R39" i="1" s="1"/>
  <c r="T39" i="1" s="1"/>
  <c r="P23" i="1"/>
  <c r="R23" i="1" s="1"/>
  <c r="T23" i="1" s="1"/>
  <c r="W26" i="1"/>
  <c r="W25" i="1"/>
  <c r="W11" i="1"/>
  <c r="P37" i="1"/>
  <c r="R37" i="1" s="1"/>
  <c r="T37" i="1" s="1"/>
  <c r="W30" i="1"/>
  <c r="W6" i="1"/>
  <c r="P22" i="1"/>
  <c r="R22" i="1" s="1"/>
  <c r="T22" i="1" s="1"/>
  <c r="P35" i="1"/>
  <c r="R35" i="1" s="1"/>
  <c r="T35" i="1" s="1"/>
  <c r="W12" i="1"/>
  <c r="W19" i="1"/>
  <c r="W20" i="1"/>
  <c r="P27" i="1"/>
  <c r="R27" i="1" s="1"/>
  <c r="T27" i="1" s="1"/>
  <c r="P44" i="1"/>
  <c r="R44" i="1" s="1"/>
  <c r="T44" i="1" s="1"/>
  <c r="W29" i="1"/>
  <c r="P30" i="1"/>
  <c r="R30" i="1" s="1"/>
  <c r="T30" i="1" s="1"/>
  <c r="P45" i="1"/>
  <c r="R45" i="1" s="1"/>
  <c r="T45" i="1" s="1"/>
  <c r="W18" i="1"/>
  <c r="W2" i="1"/>
  <c r="P31" i="1"/>
  <c r="R31" i="1" s="1"/>
  <c r="T31" i="1" s="1"/>
  <c r="P24" i="1"/>
  <c r="R24" i="1" s="1"/>
  <c r="T24" i="1" s="1"/>
  <c r="W10" i="1"/>
  <c r="W3" i="1"/>
  <c r="W5" i="1"/>
  <c r="P36" i="1"/>
  <c r="R36" i="1" s="1"/>
  <c r="T36" i="1" s="1"/>
  <c r="W13" i="1"/>
  <c r="P26" i="1"/>
  <c r="R26" i="1" s="1"/>
  <c r="T26" i="1" s="1"/>
  <c r="P34" i="1"/>
  <c r="R34" i="1" s="1"/>
  <c r="T34" i="1" s="1"/>
  <c r="W32" i="1"/>
  <c r="W33" i="1"/>
  <c r="W16" i="1"/>
  <c r="P46" i="1"/>
  <c r="R46" i="1" s="1"/>
  <c r="T46" i="1" s="1"/>
  <c r="D15" i="1"/>
  <c r="C19" i="1" s="1"/>
  <c r="W4" i="1"/>
  <c r="W9" i="1"/>
  <c r="P41" i="1"/>
  <c r="W7" i="1"/>
  <c r="P43" i="1"/>
  <c r="R43" i="1" s="1"/>
  <c r="T43" i="1" s="1"/>
  <c r="P25" i="1"/>
  <c r="R25" i="1" s="1"/>
  <c r="T25" i="1" s="1"/>
  <c r="P47" i="1"/>
  <c r="R47" i="1" s="1"/>
  <c r="T47" i="1" s="1"/>
  <c r="W27" i="1"/>
  <c r="W22" i="1"/>
  <c r="W15" i="1"/>
  <c r="P42" i="1"/>
  <c r="R42" i="1" s="1"/>
  <c r="T42" i="1" s="1"/>
  <c r="W23" i="1"/>
  <c r="W24" i="1"/>
  <c r="W28" i="1"/>
  <c r="W8" i="1"/>
  <c r="P28" i="1"/>
  <c r="R28" i="1" s="1"/>
  <c r="T28" i="1" s="1"/>
  <c r="P38" i="1"/>
  <c r="R38" i="1" s="1"/>
  <c r="T38" i="1" s="1"/>
  <c r="P40" i="1"/>
  <c r="R40" i="1" s="1"/>
  <c r="T40" i="1" s="1"/>
  <c r="W21" i="1"/>
  <c r="W14" i="1"/>
  <c r="C11" i="1"/>
  <c r="C12" i="1"/>
  <c r="O49" i="1" l="1"/>
  <c r="P32" i="1"/>
  <c r="R32" i="1" s="1"/>
  <c r="T32" i="1" s="1"/>
  <c r="D16" i="1"/>
  <c r="D19" i="1" s="1"/>
  <c r="R21" i="1"/>
  <c r="T21" i="1" s="1"/>
  <c r="O35" i="1"/>
  <c r="O29" i="1"/>
  <c r="O36" i="1"/>
  <c r="O33" i="1"/>
  <c r="O32" i="1"/>
  <c r="O25" i="1"/>
  <c r="O23" i="1"/>
  <c r="O46" i="1"/>
  <c r="O38" i="1"/>
  <c r="O24" i="1"/>
  <c r="O26" i="1"/>
  <c r="O28" i="1"/>
  <c r="O37" i="1"/>
  <c r="O41" i="1"/>
  <c r="O27" i="1"/>
  <c r="O30" i="1"/>
  <c r="O48" i="1"/>
  <c r="O43" i="1"/>
  <c r="O21" i="1"/>
  <c r="O40" i="1"/>
  <c r="O34" i="1"/>
  <c r="O42" i="1"/>
  <c r="O45" i="1"/>
  <c r="O31" i="1"/>
  <c r="O39" i="1"/>
  <c r="C15" i="1"/>
  <c r="O47" i="1"/>
  <c r="O44" i="1"/>
  <c r="O22" i="1"/>
  <c r="C16" i="1"/>
  <c r="D18" i="1" s="1"/>
  <c r="F18" i="1" l="1"/>
  <c r="F19" i="1" s="1"/>
  <c r="E14" i="1"/>
  <c r="C18" i="1"/>
</calcChain>
</file>

<file path=xl/sharedStrings.xml><?xml version="1.0" encoding="utf-8"?>
<sst xmlns="http://schemas.openxmlformats.org/spreadsheetml/2006/main" count="285" uniqueCount="178">
  <si>
    <t>MQ UMa / GSC 3015-0374</t>
  </si>
  <si>
    <t>n</t>
  </si>
  <si>
    <t>Q. Fit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</si>
  <si>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</si>
  <si>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</si>
  <si>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</si>
  <si>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</si>
  <si>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</si>
  <si>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</si>
  <si>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</si>
  <si>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</si>
  <si>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</si>
  <si>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</si>
  <si>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</si>
  <si>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</si>
  <si>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</si>
  <si>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</si>
  <si>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</si>
  <si>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</si>
  <si>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</si>
  <si>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</si>
  <si>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</si>
  <si>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</si>
  <si>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</si>
  <si>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</si>
  <si>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</si>
  <si>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</si>
  <si>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</si>
  <si>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</si>
  <si>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</si>
  <si>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</si>
  <si>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</si>
  <si>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</si>
  <si>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</si>
  <si>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</si>
  <si>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</si>
  <si>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</si>
  <si>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</si>
  <si>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</si>
  <si>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</si>
  <si>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</si>
  <si>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</si>
  <si>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</si>
  <si>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</si>
  <si>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</si>
  <si>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</si>
  <si>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GCVS 4</t>
  </si>
  <si>
    <t>IBVS 5874</t>
  </si>
  <si>
    <t>I</t>
  </si>
  <si>
    <t>OEJV 0094</t>
  </si>
  <si>
    <t>IBVS 5875</t>
  </si>
  <si>
    <t>OEJV 0107</t>
  </si>
  <si>
    <t>IBVS 5918</t>
  </si>
  <si>
    <t>OEJV 0137</t>
  </si>
  <si>
    <t>IBVS 5959</t>
  </si>
  <si>
    <t>II</t>
  </si>
  <si>
    <t>OEJV 0160</t>
  </si>
  <si>
    <t>IBVS 6070</t>
  </si>
  <si>
    <t>IBVS 6010</t>
  </si>
  <si>
    <t>IBVS 6050</t>
  </si>
  <si>
    <t>IBVS 6084</t>
  </si>
  <si>
    <t>IBVS 6149</t>
  </si>
  <si>
    <t>OEJV 0179</t>
  </si>
  <si>
    <t>IBVS 6195</t>
  </si>
  <si>
    <t>IBVS 6234</t>
  </si>
  <si>
    <t>IBVS 6262</t>
  </si>
  <si>
    <t>RHN 2020</t>
  </si>
  <si>
    <t>OEJV 0203</t>
  </si>
  <si>
    <t>OEJV 0211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</si>
  <si>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</si>
  <si>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</si>
  <si>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</si>
  <si>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</si>
  <si>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</si>
  <si>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</si>
  <si>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</si>
  <si>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</si>
  <si>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2454192.5885 </t>
  </si>
  <si>
    <t> 02.04.2007 02:07 </t>
  </si>
  <si>
    <t> 0.0624 </t>
  </si>
  <si>
    <t>C </t>
  </si>
  <si>
    <t>-I</t>
  </si>
  <si>
    <t> K.&amp; M.Rätz </t>
  </si>
  <si>
    <t>BAVM 201 </t>
  </si>
  <si>
    <t>2454518.9277 </t>
  </si>
  <si>
    <t> 22.02.2008 10:15 </t>
  </si>
  <si>
    <t>6734.5</t>
  </si>
  <si>
    <t> 0.0638 </t>
  </si>
  <si>
    <t> R.Nelson </t>
  </si>
  <si>
    <t>IBVS 5875 </t>
  </si>
  <si>
    <t>2454931.4375 </t>
  </si>
  <si>
    <t> 09.04.2009 22:30 </t>
  </si>
  <si>
    <t>7601</t>
  </si>
  <si>
    <t> 0.0693 </t>
  </si>
  <si>
    <t> F.Agerer </t>
  </si>
  <si>
    <t>BAVM 209 </t>
  </si>
  <si>
    <t>2455311.5753 </t>
  </si>
  <si>
    <t> 25.04.2010 01:48 </t>
  </si>
  <si>
    <t>8399.5</t>
  </si>
  <si>
    <t> 0.0748 </t>
  </si>
  <si>
    <t>BAVM 214 </t>
  </si>
  <si>
    <t>2455625.29754 </t>
  </si>
  <si>
    <t> 04.03.2011 19:08 </t>
  </si>
  <si>
    <t>9058.5</t>
  </si>
  <si>
    <t> 0.07485 </t>
  </si>
  <si>
    <t> V.P?ibik </t>
  </si>
  <si>
    <t>OEJV 0160 </t>
  </si>
  <si>
    <t>2455644.5823 </t>
  </si>
  <si>
    <t> 24.03.2011 01:58 </t>
  </si>
  <si>
    <t>9099</t>
  </si>
  <si>
    <t> 0.0793 </t>
  </si>
  <si>
    <t> M.&amp; K.Rätz </t>
  </si>
  <si>
    <t>BAVM 231 </t>
  </si>
  <si>
    <t>2455660.5289 </t>
  </si>
  <si>
    <t> 09.04.2011 00:41 </t>
  </si>
  <si>
    <t>9132.5</t>
  </si>
  <si>
    <t> 0.0779 </t>
  </si>
  <si>
    <t>BAVM 220 </t>
  </si>
  <si>
    <t>2455669.5757 </t>
  </si>
  <si>
    <t> 18.04.2011 01:49 </t>
  </si>
  <si>
    <t>9151.5</t>
  </si>
  <si>
    <t> 0.0796 </t>
  </si>
  <si>
    <t>2455877.61011 </t>
  </si>
  <si>
    <t> 12.11.2011 02:38 </t>
  </si>
  <si>
    <t>9588.5</t>
  </si>
  <si>
    <t> 0.07668 </t>
  </si>
  <si>
    <t> J.Trnka </t>
  </si>
  <si>
    <t>2455937.8357 </t>
  </si>
  <si>
    <t> 11.01.2012 08:03 </t>
  </si>
  <si>
    <t>9715</t>
  </si>
  <si>
    <t> 0.0809 </t>
  </si>
  <si>
    <t>IBVS 6050 </t>
  </si>
  <si>
    <t>2456003.53222 </t>
  </si>
  <si>
    <t> 17.03.2012 00:46 </t>
  </si>
  <si>
    <t>9853</t>
  </si>
  <si>
    <t> 0.08145 </t>
  </si>
  <si>
    <t> K.Ho?kova </t>
  </si>
  <si>
    <t>2456003.53252 </t>
  </si>
  <si>
    <t> 0.08175 </t>
  </si>
  <si>
    <t>R</t>
  </si>
  <si>
    <t>2456011.6263 </t>
  </si>
  <si>
    <t> 25.03.2012 03:01 </t>
  </si>
  <si>
    <t>9870</t>
  </si>
  <si>
    <t> 0.0825 </t>
  </si>
  <si>
    <t> K. &amp; M.Rätz </t>
  </si>
  <si>
    <t>BAVM 232 </t>
  </si>
  <si>
    <t>2456730.4830 </t>
  </si>
  <si>
    <t> 13.03.2014 23:35 </t>
  </si>
  <si>
    <t>11380</t>
  </si>
  <si>
    <t> 0.0917 </t>
  </si>
  <si>
    <t>BAVM 238 </t>
  </si>
  <si>
    <t>2456737.3880 </t>
  </si>
  <si>
    <t> 20.03.2014 21:18 </t>
  </si>
  <si>
    <t>11394.5</t>
  </si>
  <si>
    <t> 0.0938 </t>
  </si>
  <si>
    <t>2454499.6476 </t>
  </si>
  <si>
    <t> 03.02.2008 03:32 </t>
  </si>
  <si>
    <t>6694</t>
  </si>
  <si>
    <t> 0.0640 </t>
  </si>
  <si>
    <t> L. Brát </t>
  </si>
  <si>
    <t>OEJV 0094 </t>
  </si>
  <si>
    <t>2454912.3940 </t>
  </si>
  <si>
    <t> 21.03.2009 21:27 </t>
  </si>
  <si>
    <t>7561</t>
  </si>
  <si>
    <t> 0.0682 </t>
  </si>
  <si>
    <t>OEJV 0107 </t>
  </si>
  <si>
    <t>2455259.4447 </t>
  </si>
  <si>
    <t> 03.03.2010 22:40 </t>
  </si>
  <si>
    <t>8290</t>
  </si>
  <si>
    <t> 0.0726 </t>
  </si>
  <si>
    <t> H.Kucáková </t>
  </si>
  <si>
    <t>OEJV 0137 </t>
  </si>
  <si>
    <t>2455289.4355 </t>
  </si>
  <si>
    <t> 02.04.2010 22:27 </t>
  </si>
  <si>
    <t>8353</t>
  </si>
  <si>
    <t> 0.0717 </t>
  </si>
  <si>
    <t>BAD?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</si>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</sst>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000"/>
    <numFmt numFmtId="166" formatCode="m/d/yyyy\ h:mm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6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2" borderId="15" xfId="0" applyFont="1" applyFill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right" vertical="top" wrapText="1"/>
    </xf>
    <xf numFmtId="0" fontId="16" fillId="2" borderId="15" xfId="5" applyNumberFormat="1" applyFill="1" applyBorder="1" applyAlignment="1" applyProtection="1">
      <alignment horizontal="right" vertical="top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4375"/>
          <c:w val="0.8109861001442757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Active!$H$21:$H$47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8-4DA8-9E30-6B3F79D984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8-4DA8-9E30-6B3F79D984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0">
                  <c:v>0</c:v>
                </c:pt>
                <c:pt idx="1">
                  <c:v>6.2357999995583668E-2</c:v>
                </c:pt>
                <c:pt idx="5">
                  <c:v>6.9341999995231163E-2</c:v>
                </c:pt>
                <c:pt idx="8">
                  <c:v>7.4828999997407664E-2</c:v>
                </c:pt>
                <c:pt idx="10">
                  <c:v>7.9257999997935258E-2</c:v>
                </c:pt>
                <c:pt idx="11">
                  <c:v>7.791499999439111E-2</c:v>
                </c:pt>
                <c:pt idx="12">
                  <c:v>7.9613000001700129E-2</c:v>
                </c:pt>
                <c:pt idx="18">
                  <c:v>9.1659999998228159E-2</c:v>
                </c:pt>
                <c:pt idx="19">
                  <c:v>9.3818999994255137E-2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D8-4DA8-9E30-6B3F79D9848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  <c:pt idx="27">
                  <c:v>15999.5</c:v>
                </c:pt>
                <c:pt idx="28">
                  <c:v>17629.5</c:v>
                </c:pt>
              </c:numCache>
            </c:numRef>
          </c:xVal>
          <c:yVal>
            <c:numRef>
              <c:f>Active!$K$21:$K$470</c:f>
              <c:numCache>
                <c:formatCode>General</c:formatCode>
                <c:ptCount val="450"/>
                <c:pt idx="2">
                  <c:v>6.4087999999173917E-2</c:v>
                </c:pt>
                <c:pt idx="3">
                  <c:v>6.3798999995924532E-2</c:v>
                </c:pt>
                <c:pt idx="4">
                  <c:v>6.8121999996947125E-2</c:v>
                </c:pt>
                <c:pt idx="6">
                  <c:v>7.2670000001380686E-2</c:v>
                </c:pt>
                <c:pt idx="7">
                  <c:v>7.1755999997549225E-2</c:v>
                </c:pt>
                <c:pt idx="9">
                  <c:v>7.484699999622535E-2</c:v>
                </c:pt>
                <c:pt idx="13">
                  <c:v>7.6676999997289386E-2</c:v>
                </c:pt>
                <c:pt idx="14">
                  <c:v>8.0930000003718305E-2</c:v>
                </c:pt>
                <c:pt idx="15">
                  <c:v>8.1445999996503815E-2</c:v>
                </c:pt>
                <c:pt idx="16">
                  <c:v>8.1745999996201135E-2</c:v>
                </c:pt>
                <c:pt idx="17">
                  <c:v>8.2540000003064051E-2</c:v>
                </c:pt>
                <c:pt idx="21">
                  <c:v>0.11772999999811873</c:v>
                </c:pt>
                <c:pt idx="23">
                  <c:v>0.12696600000344915</c:v>
                </c:pt>
                <c:pt idx="24">
                  <c:v>0.12921500000084052</c:v>
                </c:pt>
                <c:pt idx="25">
                  <c:v>0.13951400000223657</c:v>
                </c:pt>
                <c:pt idx="26">
                  <c:v>0.15718599999672733</c:v>
                </c:pt>
                <c:pt idx="27">
                  <c:v>0.15762900000117952</c:v>
                </c:pt>
                <c:pt idx="28">
                  <c:v>0.18798899999819696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D8-4DA8-9E30-6B3F79D9848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D8-4DA8-9E30-6B3F79D984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D8-4DA8-9E30-6B3F79D984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D8-4DA8-9E30-6B3F79D984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Active!$O$21:$O$47</c:f>
              <c:numCache>
                <c:formatCode>General</c:formatCode>
                <c:ptCount val="27"/>
                <c:pt idx="0">
                  <c:v>-8.6143004204909224E-2</c:v>
                </c:pt>
                <c:pt idx="1">
                  <c:v>6.0501749957087153E-3</c:v>
                </c:pt>
                <c:pt idx="2">
                  <c:v>1.5880659469902553E-2</c:v>
                </c:pt>
                <c:pt idx="3">
                  <c:v>1.6497922448514724E-2</c:v>
                </c:pt>
                <c:pt idx="4">
                  <c:v>2.9094659530563116E-2</c:v>
                </c:pt>
                <c:pt idx="5">
                  <c:v>2.970430197857514E-2</c:v>
                </c:pt>
                <c:pt idx="6">
                  <c:v>4.0205393145582219E-2</c:v>
                </c:pt>
                <c:pt idx="7">
                  <c:v>4.116558000120113E-2</c:v>
                </c:pt>
                <c:pt idx="8">
                  <c:v>4.187428934701512E-2</c:v>
                </c:pt>
                <c:pt idx="9">
                  <c:v>5.1918148678013171E-2</c:v>
                </c:pt>
                <c:pt idx="10">
                  <c:v>5.2535411656625342E-2</c:v>
                </c:pt>
                <c:pt idx="11">
                  <c:v>5.3045987206835399E-2</c:v>
                </c:pt>
                <c:pt idx="12">
                  <c:v>5.3335567369641124E-2</c:v>
                </c:pt>
                <c:pt idx="13">
                  <c:v>5.9995911114172462E-2</c:v>
                </c:pt>
                <c:pt idx="14">
                  <c:v>6.1923905356010472E-2</c:v>
                </c:pt>
                <c:pt idx="15">
                  <c:v>6.4027171801651933E-2</c:v>
                </c:pt>
                <c:pt idx="16">
                  <c:v>6.4027171801651933E-2</c:v>
                </c:pt>
                <c:pt idx="17">
                  <c:v>6.4286269842057042E-2</c:v>
                </c:pt>
                <c:pt idx="18">
                  <c:v>8.7300272254510869E-2</c:v>
                </c:pt>
                <c:pt idx="19">
                  <c:v>8.7521267641915229E-2</c:v>
                </c:pt>
                <c:pt idx="20">
                  <c:v>0.10298332422962012</c:v>
                </c:pt>
                <c:pt idx="21">
                  <c:v>0.1198399379171525</c:v>
                </c:pt>
                <c:pt idx="22">
                  <c:v>0.12295673493261397</c:v>
                </c:pt>
                <c:pt idx="23">
                  <c:v>0.13063060924696529</c:v>
                </c:pt>
                <c:pt idx="24">
                  <c:v>0.13237571075439969</c:v>
                </c:pt>
                <c:pt idx="25">
                  <c:v>0.14273201184000389</c:v>
                </c:pt>
                <c:pt idx="26">
                  <c:v>0.15669282389947919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D8-4DA8-9E30-6B3F79D98486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6.8371390522947734E-3</c:v>
                </c:pt>
                <c:pt idx="1">
                  <c:v>1.0185375568811873E-2</c:v>
                </c:pt>
                <c:pt idx="2">
                  <c:v>1.360140222812852E-2</c:v>
                </c:pt>
                <c:pt idx="3">
                  <c:v>1.7085219030244719E-2</c:v>
                </c:pt>
                <c:pt idx="4">
                  <c:v>2.0636825975160464E-2</c:v>
                </c:pt>
                <c:pt idx="5">
                  <c:v>2.4256223062875754E-2</c:v>
                </c:pt>
                <c:pt idx="6">
                  <c:v>2.7943410293390595E-2</c:v>
                </c:pt>
                <c:pt idx="7">
                  <c:v>3.1698387666704991E-2</c:v>
                </c:pt>
                <c:pt idx="8">
                  <c:v>3.5521155182818932E-2</c:v>
                </c:pt>
                <c:pt idx="9">
                  <c:v>3.9411712841732421E-2</c:v>
                </c:pt>
                <c:pt idx="10">
                  <c:v>4.3370060643445459E-2</c:v>
                </c:pt>
                <c:pt idx="11">
                  <c:v>4.7396198587958044E-2</c:v>
                </c:pt>
                <c:pt idx="12">
                  <c:v>5.1490126675270177E-2</c:v>
                </c:pt>
                <c:pt idx="13">
                  <c:v>5.5651844905381866E-2</c:v>
                </c:pt>
                <c:pt idx="14">
                  <c:v>5.9881353278293095E-2</c:v>
                </c:pt>
                <c:pt idx="15">
                  <c:v>6.417865179400388E-2</c:v>
                </c:pt>
                <c:pt idx="16">
                  <c:v>6.8543740452514212E-2</c:v>
                </c:pt>
                <c:pt idx="17">
                  <c:v>7.2976619253824079E-2</c:v>
                </c:pt>
                <c:pt idx="18">
                  <c:v>7.7477288197933522E-2</c:v>
                </c:pt>
                <c:pt idx="19">
                  <c:v>8.2045747284842485E-2</c:v>
                </c:pt>
                <c:pt idx="20">
                  <c:v>8.668199651455101E-2</c:v>
                </c:pt>
                <c:pt idx="21">
                  <c:v>9.1386035887059097E-2</c:v>
                </c:pt>
                <c:pt idx="22">
                  <c:v>9.6157865402366705E-2</c:v>
                </c:pt>
                <c:pt idx="23">
                  <c:v>0.10099748506047389</c:v>
                </c:pt>
                <c:pt idx="24">
                  <c:v>0.10590489486138061</c:v>
                </c:pt>
                <c:pt idx="25">
                  <c:v>0.11088009480508687</c:v>
                </c:pt>
                <c:pt idx="26">
                  <c:v>0.1159230848915927</c:v>
                </c:pt>
                <c:pt idx="27">
                  <c:v>0.12103386512089806</c:v>
                </c:pt>
                <c:pt idx="28">
                  <c:v>0.12621243549300298</c:v>
                </c:pt>
                <c:pt idx="29">
                  <c:v>0.13145879600790744</c:v>
                </c:pt>
                <c:pt idx="30">
                  <c:v>0.13677294666561146</c:v>
                </c:pt>
                <c:pt idx="31">
                  <c:v>0.14215488746611502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D8-4DA8-9E30-6B3F79D9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29776"/>
        <c:axId val="1"/>
      </c:scatterChart>
      <c:valAx>
        <c:axId val="93552977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29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3829434487086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UMa - O-C Diagr.</a:t>
            </a:r>
          </a:p>
        </c:rich>
      </c:tx>
      <c:layout>
        <c:manualLayout>
          <c:xMode val="edge"/>
          <c:yMode val="edge"/>
          <c:x val="0.3629032258064516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3511007774245343"/>
          <c:w val="0.81129032258064515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Active!$H$21:$H$47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4-49E8-B234-CB95AEDC6E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4-49E8-B234-CB95AEDC6E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0">
                  <c:v>0</c:v>
                </c:pt>
                <c:pt idx="1">
                  <c:v>6.2357999995583668E-2</c:v>
                </c:pt>
                <c:pt idx="5">
                  <c:v>6.9341999995231163E-2</c:v>
                </c:pt>
                <c:pt idx="8">
                  <c:v>7.4828999997407664E-2</c:v>
                </c:pt>
                <c:pt idx="10">
                  <c:v>7.9257999997935258E-2</c:v>
                </c:pt>
                <c:pt idx="11">
                  <c:v>7.791499999439111E-2</c:v>
                </c:pt>
                <c:pt idx="12">
                  <c:v>7.9613000001700129E-2</c:v>
                </c:pt>
                <c:pt idx="18">
                  <c:v>9.1659999998228159E-2</c:v>
                </c:pt>
                <c:pt idx="19">
                  <c:v>9.3818999994255137E-2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4-49E8-B234-CB95AEDC6E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  <c:pt idx="27">
                  <c:v>15999.5</c:v>
                </c:pt>
                <c:pt idx="28">
                  <c:v>17629.5</c:v>
                </c:pt>
              </c:numCache>
            </c:numRef>
          </c:xVal>
          <c:yVal>
            <c:numRef>
              <c:f>Active!$K$21:$K$470</c:f>
              <c:numCache>
                <c:formatCode>General</c:formatCode>
                <c:ptCount val="450"/>
                <c:pt idx="2">
                  <c:v>6.4087999999173917E-2</c:v>
                </c:pt>
                <c:pt idx="3">
                  <c:v>6.3798999995924532E-2</c:v>
                </c:pt>
                <c:pt idx="4">
                  <c:v>6.8121999996947125E-2</c:v>
                </c:pt>
                <c:pt idx="6">
                  <c:v>7.2670000001380686E-2</c:v>
                </c:pt>
                <c:pt idx="7">
                  <c:v>7.1755999997549225E-2</c:v>
                </c:pt>
                <c:pt idx="9">
                  <c:v>7.484699999622535E-2</c:v>
                </c:pt>
                <c:pt idx="13">
                  <c:v>7.6676999997289386E-2</c:v>
                </c:pt>
                <c:pt idx="14">
                  <c:v>8.0930000003718305E-2</c:v>
                </c:pt>
                <c:pt idx="15">
                  <c:v>8.1445999996503815E-2</c:v>
                </c:pt>
                <c:pt idx="16">
                  <c:v>8.1745999996201135E-2</c:v>
                </c:pt>
                <c:pt idx="17">
                  <c:v>8.2540000003064051E-2</c:v>
                </c:pt>
                <c:pt idx="21">
                  <c:v>0.11772999999811873</c:v>
                </c:pt>
                <c:pt idx="23">
                  <c:v>0.12696600000344915</c:v>
                </c:pt>
                <c:pt idx="24">
                  <c:v>0.12921500000084052</c:v>
                </c:pt>
                <c:pt idx="25">
                  <c:v>0.13951400000223657</c:v>
                </c:pt>
                <c:pt idx="26">
                  <c:v>0.15718599999672733</c:v>
                </c:pt>
                <c:pt idx="27">
                  <c:v>0.15762900000117952</c:v>
                </c:pt>
                <c:pt idx="28">
                  <c:v>0.18798899999819696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4-49E8-B234-CB95AEDC6E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4-49E8-B234-CB95AEDC6E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4-49E8-B234-CB95AEDC6E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4-49E8-B234-CB95AEDC6E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Active!$O$21:$O$47</c:f>
              <c:numCache>
                <c:formatCode>General</c:formatCode>
                <c:ptCount val="27"/>
                <c:pt idx="0">
                  <c:v>-8.6143004204909224E-2</c:v>
                </c:pt>
                <c:pt idx="1">
                  <c:v>6.0501749957087153E-3</c:v>
                </c:pt>
                <c:pt idx="2">
                  <c:v>1.5880659469902553E-2</c:v>
                </c:pt>
                <c:pt idx="3">
                  <c:v>1.6497922448514724E-2</c:v>
                </c:pt>
                <c:pt idx="4">
                  <c:v>2.9094659530563116E-2</c:v>
                </c:pt>
                <c:pt idx="5">
                  <c:v>2.970430197857514E-2</c:v>
                </c:pt>
                <c:pt idx="6">
                  <c:v>4.0205393145582219E-2</c:v>
                </c:pt>
                <c:pt idx="7">
                  <c:v>4.116558000120113E-2</c:v>
                </c:pt>
                <c:pt idx="8">
                  <c:v>4.187428934701512E-2</c:v>
                </c:pt>
                <c:pt idx="9">
                  <c:v>5.1918148678013171E-2</c:v>
                </c:pt>
                <c:pt idx="10">
                  <c:v>5.2535411656625342E-2</c:v>
                </c:pt>
                <c:pt idx="11">
                  <c:v>5.3045987206835399E-2</c:v>
                </c:pt>
                <c:pt idx="12">
                  <c:v>5.3335567369641124E-2</c:v>
                </c:pt>
                <c:pt idx="13">
                  <c:v>5.9995911114172462E-2</c:v>
                </c:pt>
                <c:pt idx="14">
                  <c:v>6.1923905356010472E-2</c:v>
                </c:pt>
                <c:pt idx="15">
                  <c:v>6.4027171801651933E-2</c:v>
                </c:pt>
                <c:pt idx="16">
                  <c:v>6.4027171801651933E-2</c:v>
                </c:pt>
                <c:pt idx="17">
                  <c:v>6.4286269842057042E-2</c:v>
                </c:pt>
                <c:pt idx="18">
                  <c:v>8.7300272254510869E-2</c:v>
                </c:pt>
                <c:pt idx="19">
                  <c:v>8.7521267641915229E-2</c:v>
                </c:pt>
                <c:pt idx="20">
                  <c:v>0.10298332422962012</c:v>
                </c:pt>
                <c:pt idx="21">
                  <c:v>0.1198399379171525</c:v>
                </c:pt>
                <c:pt idx="22">
                  <c:v>0.12295673493261397</c:v>
                </c:pt>
                <c:pt idx="23">
                  <c:v>0.13063060924696529</c:v>
                </c:pt>
                <c:pt idx="24">
                  <c:v>0.13237571075439969</c:v>
                </c:pt>
                <c:pt idx="25">
                  <c:v>0.14273201184000389</c:v>
                </c:pt>
                <c:pt idx="26">
                  <c:v>0.15669282389947919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4-49E8-B234-CB95AEDC6E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Active!$U$21:$U$47</c:f>
              <c:numCache>
                <c:formatCode>General</c:formatCode>
                <c:ptCount val="27"/>
                <c:pt idx="20">
                  <c:v>0.19236799999634968</c:v>
                </c:pt>
                <c:pt idx="22">
                  <c:v>0.35441900017031003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4-49E8-B234-CB95AEDC6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2728"/>
        <c:axId val="1"/>
      </c:scatterChart>
      <c:valAx>
        <c:axId val="9355327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2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6774193548387"/>
          <c:y val="0.91222702177901738"/>
          <c:w val="0.76612903225806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061D42B-6AF7-A93A-C567-D17ABFE41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25</xdr:col>
      <xdr:colOff>619125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ACECC0B-6434-C1DD-C7C0-612C49BA3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www.bav-astro.de/sfs/BAVM_link.php?BAVMnr=232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31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6050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9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2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>
      <c r="A1" s="2" t="s">
        <v>0</v>
      </c>
      <c r="V1" s="3" t="s">
        <v>1</v>
      </c>
      <c r="W1" s="4" t="s">
        <v>2</v>
      </c>
    </row>
    <row r="2" spans="1:23" s="22" customFormat="1" ht="12.95" customHeight="1">
      <c r="A2" s="22" t="s">
        <v>3</v>
      </c>
      <c r="B2" s="22" t="s">
        <v>4</v>
      </c>
      <c r="C2" s="23"/>
      <c r="D2" s="23"/>
      <c r="V2" s="22">
        <v>0</v>
      </c>
      <c r="W2" s="22">
        <f t="shared" ref="W2:W17" si="0">+D$11+D$12*V2+D$13*V2^2</f>
        <v>6.8371390522947734E-3</v>
      </c>
    </row>
    <row r="3" spans="1:23" s="22" customFormat="1" ht="12.95" customHeight="1">
      <c r="V3" s="22">
        <v>500</v>
      </c>
      <c r="W3" s="22">
        <f t="shared" si="0"/>
        <v>1.0185375568811873E-2</v>
      </c>
    </row>
    <row r="4" spans="1:23" s="22" customFormat="1" ht="12.95" customHeight="1">
      <c r="A4" s="24" t="s">
        <v>5</v>
      </c>
      <c r="C4" s="25">
        <v>51312.851300000002</v>
      </c>
      <c r="D4" s="26">
        <v>0.47605799999999998</v>
      </c>
      <c r="V4" s="22">
        <v>1000</v>
      </c>
      <c r="W4" s="22">
        <f t="shared" si="0"/>
        <v>1.360140222812852E-2</v>
      </c>
    </row>
    <row r="5" spans="1:23" s="22" customFormat="1" ht="12.95" customHeight="1">
      <c r="A5" s="27" t="s">
        <v>6</v>
      </c>
      <c r="C5" s="28">
        <v>-9.5</v>
      </c>
      <c r="D5" s="22" t="s">
        <v>7</v>
      </c>
      <c r="V5" s="22">
        <v>1500</v>
      </c>
      <c r="W5" s="22">
        <f t="shared" si="0"/>
        <v>1.7085219030244719E-2</v>
      </c>
    </row>
    <row r="6" spans="1:23" s="22" customFormat="1" ht="12.95" customHeight="1">
      <c r="A6" s="24" t="s">
        <v>8</v>
      </c>
      <c r="V6" s="22">
        <v>2000</v>
      </c>
      <c r="W6" s="22">
        <f t="shared" si="0"/>
        <v>2.0636825975160464E-2</v>
      </c>
    </row>
    <row r="7" spans="1:23" s="22" customFormat="1" ht="12.95" customHeight="1">
      <c r="A7" s="22" t="s">
        <v>9</v>
      </c>
      <c r="C7" s="22">
        <f>+C4</f>
        <v>51312.851300000002</v>
      </c>
      <c r="V7" s="22">
        <v>2500</v>
      </c>
      <c r="W7" s="22">
        <f t="shared" si="0"/>
        <v>2.4256223062875754E-2</v>
      </c>
    </row>
    <row r="8" spans="1:23" s="22" customFormat="1" ht="12.95" customHeight="1">
      <c r="A8" s="22" t="s">
        <v>10</v>
      </c>
      <c r="C8" s="22">
        <f>+D4</f>
        <v>0.47605799999999998</v>
      </c>
      <c r="V8" s="22">
        <v>3000</v>
      </c>
      <c r="W8" s="22">
        <f t="shared" si="0"/>
        <v>2.7943410293390595E-2</v>
      </c>
    </row>
    <row r="9" spans="1:23" s="22" customFormat="1" ht="12.95" customHeight="1">
      <c r="A9" s="29" t="s">
        <v>11</v>
      </c>
      <c r="B9" s="30">
        <v>40</v>
      </c>
      <c r="C9" s="31" t="str">
        <f>"F"&amp;B9</f>
        <v>F40</v>
      </c>
      <c r="D9" s="32" t="str">
        <f>"G"&amp;B9</f>
        <v>G40</v>
      </c>
      <c r="V9" s="22">
        <v>3500</v>
      </c>
      <c r="W9" s="22">
        <f t="shared" si="0"/>
        <v>3.1698387666704991E-2</v>
      </c>
    </row>
    <row r="10" spans="1:23" s="22" customFormat="1" ht="12.95" customHeight="1">
      <c r="C10" s="33" t="s">
        <v>12</v>
      </c>
      <c r="D10" s="33" t="s">
        <v>13</v>
      </c>
      <c r="V10" s="22">
        <v>4000</v>
      </c>
      <c r="W10" s="22">
        <f t="shared" si="0"/>
        <v>3.5521155182818932E-2</v>
      </c>
    </row>
    <row r="11" spans="1:23" s="22" customFormat="1" ht="12.95" customHeight="1">
      <c r="A11" s="22" t="s">
        <v>14</v>
      </c>
      <c r="C11" s="32">
        <f ca="1">INTERCEPT(INDIRECT($D$9):G985,INDIRECT($C$9):F985)</f>
        <v>-8.6143004204909224E-2</v>
      </c>
      <c r="D11" s="23">
        <f>+E11*F11</f>
        <v>6.8371390522947734E-3</v>
      </c>
      <c r="E11" s="34">
        <v>6.8371390522947734E-3</v>
      </c>
      <c r="F11" s="22">
        <v>1</v>
      </c>
      <c r="V11" s="22">
        <v>4500</v>
      </c>
      <c r="W11" s="22">
        <f t="shared" si="0"/>
        <v>3.9411712841732421E-2</v>
      </c>
    </row>
    <row r="12" spans="1:23" s="22" customFormat="1" ht="12.95" customHeight="1">
      <c r="A12" s="22" t="s">
        <v>15</v>
      </c>
      <c r="C12" s="32">
        <f ca="1">SLOPE(INDIRECT($D$9):G985,INDIRECT($C$9):F985)</f>
        <v>1.5241061200300534E-5</v>
      </c>
      <c r="D12" s="23">
        <f>+E12*F12</f>
        <v>6.6286828902346494E-6</v>
      </c>
      <c r="E12" s="35">
        <v>6.6286828902346495E-2</v>
      </c>
      <c r="F12" s="36">
        <v>1E-4</v>
      </c>
      <c r="V12" s="22">
        <v>5000</v>
      </c>
      <c r="W12" s="22">
        <f t="shared" si="0"/>
        <v>4.3370060643445459E-2</v>
      </c>
    </row>
    <row r="13" spans="1:23" s="22" customFormat="1" ht="12.95" customHeight="1">
      <c r="A13" s="22" t="s">
        <v>16</v>
      </c>
      <c r="C13" s="23" t="s">
        <v>17</v>
      </c>
      <c r="D13" s="23">
        <f>+E13*F13</f>
        <v>1.3558028559909749E-10</v>
      </c>
      <c r="E13" s="37">
        <v>1.3558028559909749E-2</v>
      </c>
      <c r="F13" s="36">
        <v>1E-8</v>
      </c>
      <c r="V13" s="22">
        <v>5500</v>
      </c>
      <c r="W13" s="22">
        <f t="shared" si="0"/>
        <v>4.7396198587958044E-2</v>
      </c>
    </row>
    <row r="14" spans="1:23" s="22" customFormat="1" ht="12.95" customHeight="1">
      <c r="E14" s="22">
        <f>SUM(T21:T949)</f>
        <v>5.4616827614191808E-2</v>
      </c>
      <c r="V14" s="22">
        <v>6000</v>
      </c>
      <c r="W14" s="22">
        <f t="shared" si="0"/>
        <v>5.1490126675270177E-2</v>
      </c>
    </row>
    <row r="15" spans="1:23" s="22" customFormat="1" ht="12.95" customHeight="1">
      <c r="A15" s="24" t="s">
        <v>18</v>
      </c>
      <c r="C15" s="38">
        <f ca="1">(C7+C11)+(C8+C12)*INT(MAX(F21:F3526))</f>
        <v>59705.460323663698</v>
      </c>
      <c r="D15" s="32">
        <f>+C7+INT(MAX(F21:F1587))*C8+D11+D12*INT(MAX(F21:F4022))+D13*INT(MAX(F21:F4049)^2)</f>
        <v>59705.443614443517</v>
      </c>
      <c r="E15" s="29" t="s">
        <v>19</v>
      </c>
      <c r="F15" s="28">
        <v>1</v>
      </c>
      <c r="V15" s="22">
        <v>6500</v>
      </c>
      <c r="W15" s="22">
        <f t="shared" si="0"/>
        <v>5.5651844905381866E-2</v>
      </c>
    </row>
    <row r="16" spans="1:23" s="22" customFormat="1" ht="12.95" customHeight="1">
      <c r="A16" s="24" t="s">
        <v>20</v>
      </c>
      <c r="C16" s="38">
        <f ca="1">+C8+C12</f>
        <v>0.4760732410612003</v>
      </c>
      <c r="D16" s="32">
        <f>+C8+D12+2*D13*MAX(F21:F895)</f>
        <v>0.47606940910818019</v>
      </c>
      <c r="E16" s="29" t="s">
        <v>21</v>
      </c>
      <c r="F16" s="32">
        <f ca="1">NOW()+15018.5+$C$5/24</f>
        <v>60312.716739583331</v>
      </c>
      <c r="V16" s="22">
        <v>7000</v>
      </c>
      <c r="W16" s="22">
        <f t="shared" si="0"/>
        <v>5.9881353278293095E-2</v>
      </c>
    </row>
    <row r="17" spans="1:23" s="22" customFormat="1" ht="12.95" customHeight="1">
      <c r="A17" s="29" t="s">
        <v>22</v>
      </c>
      <c r="C17" s="22">
        <f>COUNT(C21:C2184)</f>
        <v>29</v>
      </c>
      <c r="E17" s="29" t="s">
        <v>23</v>
      </c>
      <c r="F17" s="32">
        <f ca="1">ROUND(2*(F16-$C$7)/$C$8,0)/2+F15</f>
        <v>18906</v>
      </c>
      <c r="V17" s="22">
        <v>7500</v>
      </c>
      <c r="W17" s="22">
        <f t="shared" si="0"/>
        <v>6.417865179400388E-2</v>
      </c>
    </row>
    <row r="18" spans="1:23" s="22" customFormat="1" ht="12.95" customHeight="1">
      <c r="A18" s="24" t="s">
        <v>24</v>
      </c>
      <c r="C18" s="39">
        <f ca="1">+C15</f>
        <v>59705.460323663698</v>
      </c>
      <c r="D18" s="40">
        <f ca="1">+C16</f>
        <v>0.4760732410612003</v>
      </c>
      <c r="E18" s="29" t="s">
        <v>25</v>
      </c>
      <c r="F18" s="32">
        <f ca="1">ROUND(2*(F16-$C$15)/$C$16,0)/2+F15</f>
        <v>1276.5</v>
      </c>
      <c r="V18" s="22">
        <v>8000</v>
      </c>
      <c r="W18" s="22">
        <f t="shared" ref="W18:W27" si="1">+D$11+D$12*V18+D$13*V18^2</f>
        <v>6.8543740452514212E-2</v>
      </c>
    </row>
    <row r="19" spans="1:23" s="22" customFormat="1" ht="12.95" customHeight="1">
      <c r="A19" s="24" t="s">
        <v>26</v>
      </c>
      <c r="C19" s="25">
        <f>+D15</f>
        <v>59705.443614443517</v>
      </c>
      <c r="D19" s="41">
        <f>+D16</f>
        <v>0.47606940910818019</v>
      </c>
      <c r="E19" s="29" t="s">
        <v>27</v>
      </c>
      <c r="F19" s="42">
        <f ca="1">+$C$15+$C$16*F18-15018.5-$C$5/24</f>
        <v>45295.063649211654</v>
      </c>
      <c r="V19" s="22">
        <v>8500</v>
      </c>
      <c r="W19" s="22">
        <f t="shared" si="1"/>
        <v>7.2976619253824079E-2</v>
      </c>
    </row>
    <row r="20" spans="1:23" s="22" customFormat="1" ht="12.95" customHeight="1">
      <c r="A20" s="33" t="s">
        <v>28</v>
      </c>
      <c r="B20" s="33" t="s">
        <v>29</v>
      </c>
      <c r="C20" s="33" t="s">
        <v>30</v>
      </c>
      <c r="D20" s="33" t="s">
        <v>31</v>
      </c>
      <c r="E20" s="33" t="s">
        <v>32</v>
      </c>
      <c r="F20" s="33" t="s">
        <v>1</v>
      </c>
      <c r="G20" s="33" t="s">
        <v>33</v>
      </c>
      <c r="H20" s="43" t="s">
        <v>34</v>
      </c>
      <c r="I20" s="43" t="s">
        <v>35</v>
      </c>
      <c r="J20" s="43" t="s">
        <v>36</v>
      </c>
      <c r="K20" s="43" t="s">
        <v>37</v>
      </c>
      <c r="L20" s="43" t="s">
        <v>38</v>
      </c>
      <c r="M20" s="43" t="s">
        <v>39</v>
      </c>
      <c r="N20" s="43" t="s">
        <v>40</v>
      </c>
      <c r="O20" s="43" t="s">
        <v>41</v>
      </c>
      <c r="P20" s="44" t="s">
        <v>2</v>
      </c>
      <c r="Q20" s="33" t="s">
        <v>42</v>
      </c>
      <c r="R20" s="43" t="s">
        <v>43</v>
      </c>
      <c r="S20" s="43" t="s">
        <v>44</v>
      </c>
      <c r="T20" s="43" t="s">
        <v>45</v>
      </c>
      <c r="U20" s="45" t="s">
        <v>176</v>
      </c>
      <c r="V20" s="22">
        <v>9000</v>
      </c>
      <c r="W20" s="22">
        <f t="shared" si="1"/>
        <v>7.7477288197933522E-2</v>
      </c>
    </row>
    <row r="21" spans="1:23" s="22" customFormat="1" ht="12.95" customHeight="1">
      <c r="A21" s="22" t="s">
        <v>46</v>
      </c>
      <c r="B21" s="23"/>
      <c r="C21" s="46">
        <v>51312.851300000002</v>
      </c>
      <c r="D21" s="46" t="s">
        <v>17</v>
      </c>
      <c r="E21" s="22">
        <f t="shared" ref="E21:E49" si="2">+(C21-C$7)/C$8</f>
        <v>0</v>
      </c>
      <c r="F21" s="22">
        <f t="shared" ref="F21:F40" si="3">ROUND(2*E21,0)/2</f>
        <v>0</v>
      </c>
      <c r="G21" s="22">
        <f t="shared" ref="G21:G40" si="4">+C21-(C$7+F21*C$8)</f>
        <v>0</v>
      </c>
      <c r="J21" s="22">
        <f>+G21</f>
        <v>0</v>
      </c>
      <c r="O21" s="22">
        <f t="shared" ref="O21:O49" ca="1" si="5">+C$11+C$12*$F21</f>
        <v>-8.6143004204909224E-2</v>
      </c>
      <c r="P21" s="29">
        <f t="shared" ref="P21:P49" si="6">+D$11+D$12*F21+D$13*F21^2</f>
        <v>6.8371390522947734E-3</v>
      </c>
      <c r="Q21" s="47">
        <f t="shared" ref="Q21:Q49" si="7">+C21-15018.5</f>
        <v>36294.351300000002</v>
      </c>
      <c r="R21" s="22">
        <f t="shared" ref="R21:R40" si="8">+(P21-G21)^2</f>
        <v>4.6746470420414275E-5</v>
      </c>
      <c r="S21" s="22">
        <v>1</v>
      </c>
      <c r="T21" s="22">
        <f t="shared" ref="T21:T40" si="9">+S21*R21</f>
        <v>4.6746470420414275E-5</v>
      </c>
      <c r="U21" s="48"/>
      <c r="V21" s="22">
        <v>9500</v>
      </c>
      <c r="W21" s="22">
        <f t="shared" si="1"/>
        <v>8.2045747284842485E-2</v>
      </c>
    </row>
    <row r="22" spans="1:23" s="22" customFormat="1" ht="12.95" customHeight="1">
      <c r="A22" s="7" t="s">
        <v>47</v>
      </c>
      <c r="B22" s="8" t="s">
        <v>48</v>
      </c>
      <c r="C22" s="7">
        <v>54192.588499999998</v>
      </c>
      <c r="D22" s="7">
        <v>8.0000000000000004E-4</v>
      </c>
      <c r="E22" s="22">
        <f t="shared" si="2"/>
        <v>6049.1309882409205</v>
      </c>
      <c r="F22" s="22">
        <f t="shared" si="3"/>
        <v>6049</v>
      </c>
      <c r="G22" s="22">
        <f t="shared" si="4"/>
        <v>6.2357999995583668E-2</v>
      </c>
      <c r="J22" s="22">
        <f>+G22</f>
        <v>6.2357999995583668E-2</v>
      </c>
      <c r="O22" s="22">
        <f t="shared" ca="1" si="5"/>
        <v>6.0501749957087153E-3</v>
      </c>
      <c r="P22" s="29">
        <f t="shared" si="6"/>
        <v>5.1894978873089671E-2</v>
      </c>
      <c r="Q22" s="47">
        <f t="shared" si="7"/>
        <v>39174.088499999998</v>
      </c>
      <c r="R22" s="22">
        <f t="shared" si="8"/>
        <v>1.0947481100975554E-4</v>
      </c>
      <c r="S22" s="22">
        <v>1</v>
      </c>
      <c r="T22" s="22">
        <f t="shared" si="9"/>
        <v>1.0947481100975554E-4</v>
      </c>
      <c r="V22" s="22">
        <v>10000</v>
      </c>
      <c r="W22" s="22">
        <f t="shared" si="1"/>
        <v>8.668199651455101E-2</v>
      </c>
    </row>
    <row r="23" spans="1:23" s="22" customFormat="1" ht="12.95" customHeight="1">
      <c r="A23" s="49" t="s">
        <v>49</v>
      </c>
      <c r="B23" s="8" t="s">
        <v>48</v>
      </c>
      <c r="C23" s="7">
        <v>54499.647640000003</v>
      </c>
      <c r="D23" s="7">
        <v>3.0000000000000001E-3</v>
      </c>
      <c r="E23" s="22">
        <f t="shared" si="2"/>
        <v>6694.1346222519123</v>
      </c>
      <c r="F23" s="22">
        <f t="shared" si="3"/>
        <v>6694</v>
      </c>
      <c r="G23" s="22">
        <f t="shared" si="4"/>
        <v>6.4087999999173917E-2</v>
      </c>
      <c r="K23" s="22">
        <f>+G23</f>
        <v>6.4087999999173917E-2</v>
      </c>
      <c r="O23" s="22">
        <f t="shared" ca="1" si="5"/>
        <v>1.5880659469902553E-2</v>
      </c>
      <c r="P23" s="29">
        <f t="shared" si="6"/>
        <v>5.7284845565997111E-2</v>
      </c>
      <c r="Q23" s="47">
        <f t="shared" si="7"/>
        <v>39481.147640000003</v>
      </c>
      <c r="R23" s="22">
        <f t="shared" si="8"/>
        <v>4.6282910241653226E-5</v>
      </c>
      <c r="S23" s="22">
        <v>1</v>
      </c>
      <c r="T23" s="22">
        <f t="shared" si="9"/>
        <v>4.6282910241653226E-5</v>
      </c>
      <c r="V23" s="22">
        <v>10500</v>
      </c>
      <c r="W23" s="22">
        <f t="shared" si="1"/>
        <v>9.1386035887059097E-2</v>
      </c>
    </row>
    <row r="24" spans="1:23" s="22" customFormat="1" ht="12.95" customHeight="1">
      <c r="A24" s="50" t="s">
        <v>50</v>
      </c>
      <c r="B24" s="8"/>
      <c r="C24" s="7">
        <v>54518.9277</v>
      </c>
      <c r="D24" s="7">
        <v>5.0000000000000001E-4</v>
      </c>
      <c r="E24" s="22">
        <f t="shared" si="2"/>
        <v>6734.63401518302</v>
      </c>
      <c r="F24" s="22">
        <f t="shared" si="3"/>
        <v>6734.5</v>
      </c>
      <c r="G24" s="22">
        <f t="shared" si="4"/>
        <v>6.3798999995924532E-2</v>
      </c>
      <c r="K24" s="22">
        <f>+G24</f>
        <v>6.3798999995924532E-2</v>
      </c>
      <c r="O24" s="22">
        <f t="shared" ca="1" si="5"/>
        <v>1.6497922448514724E-2</v>
      </c>
      <c r="P24" s="29">
        <f t="shared" si="6"/>
        <v>5.76270431375909E-2</v>
      </c>
      <c r="Q24" s="47">
        <f t="shared" si="7"/>
        <v>39500.4277</v>
      </c>
      <c r="R24" s="22">
        <f t="shared" si="8"/>
        <v>3.8093051461131562E-5</v>
      </c>
      <c r="S24" s="22">
        <v>1</v>
      </c>
      <c r="T24" s="22">
        <f t="shared" si="9"/>
        <v>3.8093051461131562E-5</v>
      </c>
      <c r="V24" s="22">
        <v>11000</v>
      </c>
      <c r="W24" s="22">
        <f t="shared" si="1"/>
        <v>9.6157865402366705E-2</v>
      </c>
    </row>
    <row r="25" spans="1:23" s="22" customFormat="1" ht="12.95" customHeight="1">
      <c r="A25" s="49" t="s">
        <v>51</v>
      </c>
      <c r="B25" s="8" t="s">
        <v>48</v>
      </c>
      <c r="C25" s="7">
        <v>54912.393960000001</v>
      </c>
      <c r="D25" s="7">
        <v>1E-4</v>
      </c>
      <c r="E25" s="22">
        <f t="shared" si="2"/>
        <v>7561.1430960093085</v>
      </c>
      <c r="F25" s="22">
        <f t="shared" si="3"/>
        <v>7561</v>
      </c>
      <c r="G25" s="22">
        <f t="shared" si="4"/>
        <v>6.8121999996947125E-2</v>
      </c>
      <c r="K25" s="22">
        <f>+G25</f>
        <v>6.8121999996947125E-2</v>
      </c>
      <c r="O25" s="22">
        <f t="shared" ca="1" si="5"/>
        <v>2.9094659530563116E-2</v>
      </c>
      <c r="P25" s="29">
        <f t="shared" si="6"/>
        <v>6.4707561905874081E-2</v>
      </c>
      <c r="Q25" s="47">
        <f t="shared" si="7"/>
        <v>39893.893960000001</v>
      </c>
      <c r="R25" s="22">
        <f t="shared" si="8"/>
        <v>1.1658387477770531E-5</v>
      </c>
      <c r="S25" s="22">
        <v>1</v>
      </c>
      <c r="T25" s="22">
        <f t="shared" si="9"/>
        <v>1.1658387477770531E-5</v>
      </c>
      <c r="V25" s="22">
        <v>11500</v>
      </c>
      <c r="W25" s="22">
        <f t="shared" si="1"/>
        <v>0.10099748506047389</v>
      </c>
    </row>
    <row r="26" spans="1:23" s="22" customFormat="1" ht="12.95" customHeight="1">
      <c r="A26" s="7" t="s">
        <v>52</v>
      </c>
      <c r="B26" s="8" t="s">
        <v>48</v>
      </c>
      <c r="C26" s="7">
        <v>54931.4375</v>
      </c>
      <c r="D26" s="7">
        <v>6.9999999999999999E-4</v>
      </c>
      <c r="E26" s="22">
        <f t="shared" si="2"/>
        <v>7601.1456587222528</v>
      </c>
      <c r="F26" s="22">
        <f t="shared" si="3"/>
        <v>7601</v>
      </c>
      <c r="G26" s="22">
        <f t="shared" si="4"/>
        <v>6.9341999995231163E-2</v>
      </c>
      <c r="J26" s="22">
        <f>+G26</f>
        <v>6.9341999995231163E-2</v>
      </c>
      <c r="O26" s="22">
        <f t="shared" ca="1" si="5"/>
        <v>2.970430197857514E-2</v>
      </c>
      <c r="P26" s="29">
        <f t="shared" si="6"/>
        <v>6.5054935953093612E-2</v>
      </c>
      <c r="Q26" s="47">
        <f t="shared" si="7"/>
        <v>39912.9375</v>
      </c>
      <c r="R26" s="22">
        <f t="shared" si="8"/>
        <v>1.8378918101388753E-5</v>
      </c>
      <c r="S26" s="22">
        <v>1</v>
      </c>
      <c r="T26" s="22">
        <f t="shared" si="9"/>
        <v>1.8378918101388753E-5</v>
      </c>
      <c r="V26" s="22">
        <v>12000</v>
      </c>
      <c r="W26" s="22">
        <f t="shared" si="1"/>
        <v>0.10590489486138061</v>
      </c>
    </row>
    <row r="27" spans="1:23" s="22" customFormat="1" ht="12.95" customHeight="1">
      <c r="A27" s="49" t="s">
        <v>53</v>
      </c>
      <c r="B27" s="8" t="s">
        <v>48</v>
      </c>
      <c r="C27" s="7">
        <v>55259.444790000001</v>
      </c>
      <c r="D27" s="7">
        <v>2.9999999999999997E-4</v>
      </c>
      <c r="E27" s="22">
        <f t="shared" si="2"/>
        <v>8290.1526494670798</v>
      </c>
      <c r="F27" s="22">
        <f t="shared" si="3"/>
        <v>8290</v>
      </c>
      <c r="G27" s="22">
        <f t="shared" si="4"/>
        <v>7.2670000001380686E-2</v>
      </c>
      <c r="K27" s="22">
        <f>+G27</f>
        <v>7.2670000001380686E-2</v>
      </c>
      <c r="O27" s="22">
        <f t="shared" ca="1" si="5"/>
        <v>4.0205393145582219E-2</v>
      </c>
      <c r="P27" s="29">
        <f t="shared" si="6"/>
        <v>7.1106553317880961E-2</v>
      </c>
      <c r="Q27" s="47">
        <f t="shared" si="7"/>
        <v>40240.944790000001</v>
      </c>
      <c r="R27" s="22">
        <f t="shared" si="8"/>
        <v>2.44436553214629E-6</v>
      </c>
      <c r="S27" s="22">
        <v>1</v>
      </c>
      <c r="T27" s="22">
        <f t="shared" si="9"/>
        <v>2.44436553214629E-6</v>
      </c>
      <c r="V27" s="22">
        <v>12500</v>
      </c>
      <c r="W27" s="22">
        <f t="shared" si="1"/>
        <v>0.11088009480508687</v>
      </c>
    </row>
    <row r="28" spans="1:23" s="22" customFormat="1" ht="12.95" customHeight="1">
      <c r="A28" s="49" t="s">
        <v>53</v>
      </c>
      <c r="B28" s="8" t="s">
        <v>48</v>
      </c>
      <c r="C28" s="7">
        <v>55289.435530000002</v>
      </c>
      <c r="D28" s="7">
        <v>2.9999999999999997E-4</v>
      </c>
      <c r="E28" s="22">
        <f t="shared" si="2"/>
        <v>8353.1507295329575</v>
      </c>
      <c r="F28" s="22">
        <f t="shared" si="3"/>
        <v>8353</v>
      </c>
      <c r="G28" s="22">
        <f t="shared" si="4"/>
        <v>7.1755999997549225E-2</v>
      </c>
      <c r="K28" s="22">
        <f>+G28</f>
        <v>7.1755999997549225E-2</v>
      </c>
      <c r="O28" s="22">
        <f t="shared" ca="1" si="5"/>
        <v>4.116558000120113E-2</v>
      </c>
      <c r="P28" s="29">
        <f t="shared" si="6"/>
        <v>7.1666317489638962E-2</v>
      </c>
      <c r="Q28" s="47">
        <f t="shared" si="7"/>
        <v>40270.935530000002</v>
      </c>
      <c r="R28" s="22">
        <f t="shared" si="8"/>
        <v>8.0429522250744046E-9</v>
      </c>
      <c r="S28" s="22">
        <v>1</v>
      </c>
      <c r="T28" s="22">
        <f t="shared" si="9"/>
        <v>8.0429522250744046E-9</v>
      </c>
      <c r="V28" s="22">
        <v>13000</v>
      </c>
      <c r="W28" s="22">
        <f t="shared" ref="W28:W33" si="10">+D$11+D$12*V28+D$13*V28^2</f>
        <v>0.1159230848915927</v>
      </c>
    </row>
    <row r="29" spans="1:23" s="22" customFormat="1" ht="12.95" customHeight="1">
      <c r="A29" s="7" t="s">
        <v>54</v>
      </c>
      <c r="B29" s="8" t="s">
        <v>55</v>
      </c>
      <c r="C29" s="7">
        <v>55311.575299999997</v>
      </c>
      <c r="D29" s="7">
        <v>2.5000000000000001E-3</v>
      </c>
      <c r="E29" s="22">
        <f t="shared" si="2"/>
        <v>8399.6571846287534</v>
      </c>
      <c r="F29" s="22">
        <f t="shared" si="3"/>
        <v>8399.5</v>
      </c>
      <c r="G29" s="22">
        <f t="shared" si="4"/>
        <v>7.4828999997407664E-2</v>
      </c>
      <c r="J29" s="22">
        <f>+G29</f>
        <v>7.4828999997407664E-2</v>
      </c>
      <c r="O29" s="22">
        <f t="shared" ca="1" si="5"/>
        <v>4.187428934701512E-2</v>
      </c>
      <c r="P29" s="29">
        <f t="shared" si="6"/>
        <v>7.2080167100189066E-2</v>
      </c>
      <c r="Q29" s="47">
        <f t="shared" si="7"/>
        <v>40293.075299999997</v>
      </c>
      <c r="R29" s="22">
        <f t="shared" si="8"/>
        <v>7.5560822968311897E-6</v>
      </c>
      <c r="S29" s="22">
        <v>1</v>
      </c>
      <c r="T29" s="22">
        <f t="shared" si="9"/>
        <v>7.5560822968311897E-6</v>
      </c>
      <c r="V29" s="22">
        <v>13500</v>
      </c>
      <c r="W29" s="22">
        <f t="shared" si="10"/>
        <v>0.12103386512089806</v>
      </c>
    </row>
    <row r="30" spans="1:23" s="22" customFormat="1" ht="12.95" customHeight="1">
      <c r="A30" s="49" t="s">
        <v>56</v>
      </c>
      <c r="B30" s="8" t="s">
        <v>55</v>
      </c>
      <c r="C30" s="7">
        <v>55625.29754</v>
      </c>
      <c r="D30" s="7">
        <v>1E-3</v>
      </c>
      <c r="E30" s="22">
        <f t="shared" si="2"/>
        <v>9058.6572224392785</v>
      </c>
      <c r="F30" s="22">
        <f t="shared" si="3"/>
        <v>9058.5</v>
      </c>
      <c r="G30" s="22">
        <f t="shared" si="4"/>
        <v>7.484699999622535E-2</v>
      </c>
      <c r="K30" s="22">
        <f>+G30</f>
        <v>7.484699999622535E-2</v>
      </c>
      <c r="O30" s="22">
        <f t="shared" ca="1" si="5"/>
        <v>5.1918148678013171E-2</v>
      </c>
      <c r="P30" s="29">
        <f t="shared" si="6"/>
        <v>7.8008296177380476E-2</v>
      </c>
      <c r="Q30" s="47">
        <f t="shared" si="7"/>
        <v>40606.79754</v>
      </c>
      <c r="R30" s="22">
        <f t="shared" si="8"/>
        <v>9.9937935449859872E-6</v>
      </c>
      <c r="S30" s="22">
        <v>1</v>
      </c>
      <c r="T30" s="22">
        <f t="shared" si="9"/>
        <v>9.9937935449859872E-6</v>
      </c>
      <c r="V30" s="22">
        <v>14000</v>
      </c>
      <c r="W30" s="22">
        <f t="shared" si="10"/>
        <v>0.12621243549300298</v>
      </c>
    </row>
    <row r="31" spans="1:23" s="22" customFormat="1" ht="12.95" customHeight="1">
      <c r="A31" s="49" t="s">
        <v>57</v>
      </c>
      <c r="B31" s="8" t="s">
        <v>48</v>
      </c>
      <c r="C31" s="7">
        <v>55644.582300000002</v>
      </c>
      <c r="D31" s="7">
        <v>2.9999999999999997E-4</v>
      </c>
      <c r="E31" s="22">
        <f t="shared" si="2"/>
        <v>9099.1664881169945</v>
      </c>
      <c r="F31" s="22">
        <f t="shared" si="3"/>
        <v>9099</v>
      </c>
      <c r="G31" s="22">
        <f t="shared" si="4"/>
        <v>7.9257999997935258E-2</v>
      </c>
      <c r="J31" s="22">
        <f>+G31</f>
        <v>7.9257999997935258E-2</v>
      </c>
      <c r="O31" s="22">
        <f t="shared" ca="1" si="5"/>
        <v>5.2535411656625342E-2</v>
      </c>
      <c r="P31" s="29">
        <f t="shared" si="6"/>
        <v>7.8376460695383496E-2</v>
      </c>
      <c r="Q31" s="47">
        <f t="shared" si="7"/>
        <v>40626.082300000002</v>
      </c>
      <c r="R31" s="22">
        <f t="shared" si="8"/>
        <v>7.7711154194344709E-7</v>
      </c>
      <c r="S31" s="22">
        <v>1</v>
      </c>
      <c r="T31" s="22">
        <f t="shared" si="9"/>
        <v>7.7711154194344709E-7</v>
      </c>
      <c r="V31" s="22">
        <v>14500</v>
      </c>
      <c r="W31" s="22">
        <f t="shared" si="10"/>
        <v>0.13145879600790744</v>
      </c>
    </row>
    <row r="32" spans="1:23" s="22" customFormat="1" ht="12.95" customHeight="1">
      <c r="A32" s="7" t="s">
        <v>58</v>
      </c>
      <c r="B32" s="8" t="s">
        <v>55</v>
      </c>
      <c r="C32" s="7">
        <v>55660.528899999998</v>
      </c>
      <c r="D32" s="7">
        <v>3.3999999999999998E-3</v>
      </c>
      <c r="E32" s="22">
        <f t="shared" si="2"/>
        <v>9132.6636670321586</v>
      </c>
      <c r="F32" s="22">
        <f t="shared" si="3"/>
        <v>9132.5</v>
      </c>
      <c r="G32" s="22">
        <f t="shared" si="4"/>
        <v>7.791499999439111E-2</v>
      </c>
      <c r="J32" s="22">
        <f>+G32</f>
        <v>7.791499999439111E-2</v>
      </c>
      <c r="O32" s="22">
        <f t="shared" ca="1" si="5"/>
        <v>5.3045987206835399E-2</v>
      </c>
      <c r="P32" s="29">
        <f t="shared" si="6"/>
        <v>7.8681327943432508E-2</v>
      </c>
      <c r="Q32" s="47">
        <f t="shared" si="7"/>
        <v>40642.028899999998</v>
      </c>
      <c r="R32" s="22">
        <f t="shared" si="8"/>
        <v>5.8725852548199582E-7</v>
      </c>
      <c r="S32" s="22">
        <v>1</v>
      </c>
      <c r="T32" s="22">
        <f t="shared" si="9"/>
        <v>5.8725852548199582E-7</v>
      </c>
      <c r="V32" s="22">
        <v>15000</v>
      </c>
      <c r="W32" s="22">
        <f t="shared" si="10"/>
        <v>0.13677294666561146</v>
      </c>
    </row>
    <row r="33" spans="1:23" s="22" customFormat="1" ht="12.95" customHeight="1">
      <c r="A33" s="49" t="s">
        <v>57</v>
      </c>
      <c r="B33" s="8" t="s">
        <v>55</v>
      </c>
      <c r="C33" s="7">
        <v>55669.575700000001</v>
      </c>
      <c r="D33" s="7">
        <v>4.0000000000000002E-4</v>
      </c>
      <c r="E33" s="22">
        <f t="shared" si="2"/>
        <v>9151.667233824448</v>
      </c>
      <c r="F33" s="22">
        <f t="shared" si="3"/>
        <v>9151.5</v>
      </c>
      <c r="G33" s="22">
        <f t="shared" si="4"/>
        <v>7.9613000001700129E-2</v>
      </c>
      <c r="J33" s="22">
        <f>+G33</f>
        <v>7.9613000001700129E-2</v>
      </c>
      <c r="O33" s="22">
        <f t="shared" ca="1" si="5"/>
        <v>5.3335567369641124E-2</v>
      </c>
      <c r="P33" s="29">
        <f t="shared" si="6"/>
        <v>7.8854372967242944E-2</v>
      </c>
      <c r="Q33" s="47">
        <f t="shared" si="7"/>
        <v>40651.075700000001</v>
      </c>
      <c r="R33" s="22">
        <f t="shared" si="8"/>
        <v>5.7551497740930289E-7</v>
      </c>
      <c r="S33" s="22">
        <v>1</v>
      </c>
      <c r="T33" s="22">
        <f t="shared" si="9"/>
        <v>5.7551497740930289E-7</v>
      </c>
      <c r="V33" s="22">
        <v>15500</v>
      </c>
      <c r="W33" s="22">
        <f t="shared" si="10"/>
        <v>0.14215488746611502</v>
      </c>
    </row>
    <row r="34" spans="1:23" s="22" customFormat="1" ht="12.95" customHeight="1">
      <c r="A34" s="49" t="s">
        <v>56</v>
      </c>
      <c r="B34" s="8" t="s">
        <v>55</v>
      </c>
      <c r="C34" s="7">
        <v>55877.610110000001</v>
      </c>
      <c r="D34" s="7">
        <v>5.0000000000000001E-4</v>
      </c>
      <c r="E34" s="22">
        <f t="shared" si="2"/>
        <v>9588.661066508701</v>
      </c>
      <c r="F34" s="22">
        <f t="shared" si="3"/>
        <v>9588.5</v>
      </c>
      <c r="G34" s="22">
        <f t="shared" si="4"/>
        <v>7.6676999997289386E-2</v>
      </c>
      <c r="K34" s="22">
        <f>+G34</f>
        <v>7.6676999997289386E-2</v>
      </c>
      <c r="O34" s="22">
        <f t="shared" ca="1" si="5"/>
        <v>5.9995911114172462E-2</v>
      </c>
      <c r="P34" s="29">
        <f t="shared" si="6"/>
        <v>8.2861425869555028E-2</v>
      </c>
      <c r="Q34" s="47">
        <f t="shared" si="7"/>
        <v>40859.110110000001</v>
      </c>
      <c r="R34" s="22">
        <f t="shared" si="8"/>
        <v>3.8247123369548648E-5</v>
      </c>
      <c r="S34" s="22">
        <v>1</v>
      </c>
      <c r="T34" s="22">
        <f t="shared" si="9"/>
        <v>3.8247123369548648E-5</v>
      </c>
    </row>
    <row r="35" spans="1:23" s="22" customFormat="1" ht="12.95" customHeight="1">
      <c r="A35" s="50" t="s">
        <v>59</v>
      </c>
      <c r="B35" s="8"/>
      <c r="C35" s="7">
        <v>55937.835700000003</v>
      </c>
      <c r="D35" s="7">
        <v>4.0000000000000002E-4</v>
      </c>
      <c r="E35" s="22">
        <f t="shared" si="2"/>
        <v>9715.1700002940852</v>
      </c>
      <c r="F35" s="22">
        <f t="shared" si="3"/>
        <v>9715</v>
      </c>
      <c r="G35" s="22">
        <f t="shared" si="4"/>
        <v>8.0930000003718305E-2</v>
      </c>
      <c r="K35" s="22">
        <f>+G35</f>
        <v>8.0930000003718305E-2</v>
      </c>
      <c r="O35" s="22">
        <f t="shared" ca="1" si="5"/>
        <v>6.1923905356010472E-2</v>
      </c>
      <c r="P35" s="29">
        <f t="shared" si="6"/>
        <v>8.4031026771617071E-2</v>
      </c>
      <c r="Q35" s="47">
        <f t="shared" si="7"/>
        <v>40919.335700000003</v>
      </c>
      <c r="R35" s="22">
        <f t="shared" si="8"/>
        <v>9.6163670152246613E-6</v>
      </c>
      <c r="S35" s="22">
        <v>1</v>
      </c>
      <c r="T35" s="22">
        <f t="shared" si="9"/>
        <v>9.6163670152246613E-6</v>
      </c>
    </row>
    <row r="36" spans="1:23" s="22" customFormat="1" ht="12.95" customHeight="1">
      <c r="A36" s="49" t="s">
        <v>56</v>
      </c>
      <c r="B36" s="8" t="s">
        <v>48</v>
      </c>
      <c r="C36" s="7">
        <v>56003.532220000001</v>
      </c>
      <c r="D36" s="7">
        <v>2E-3</v>
      </c>
      <c r="E36" s="22">
        <f t="shared" si="2"/>
        <v>9853.171084195621</v>
      </c>
      <c r="F36" s="22">
        <f t="shared" si="3"/>
        <v>9853</v>
      </c>
      <c r="G36" s="22">
        <f t="shared" si="4"/>
        <v>8.1445999996503815E-2</v>
      </c>
      <c r="K36" s="22">
        <f>+G36</f>
        <v>8.1445999996503815E-2</v>
      </c>
      <c r="O36" s="22">
        <f t="shared" ca="1" si="5"/>
        <v>6.4027171801651933E-2</v>
      </c>
      <c r="P36" s="29">
        <f t="shared" si="6"/>
        <v>8.5311903844416684E-2</v>
      </c>
      <c r="Q36" s="47">
        <f t="shared" si="7"/>
        <v>40985.032220000001</v>
      </c>
      <c r="R36" s="22">
        <f t="shared" si="8"/>
        <v>1.4945212561307526E-5</v>
      </c>
      <c r="S36" s="22">
        <v>1</v>
      </c>
      <c r="T36" s="22">
        <f t="shared" si="9"/>
        <v>1.4945212561307526E-5</v>
      </c>
    </row>
    <row r="37" spans="1:23" s="22" customFormat="1" ht="12.95" customHeight="1">
      <c r="A37" s="49" t="s">
        <v>56</v>
      </c>
      <c r="B37" s="8" t="s">
        <v>48</v>
      </c>
      <c r="C37" s="7">
        <v>56003.532520000001</v>
      </c>
      <c r="D37" s="7">
        <v>2.9999999999999997E-4</v>
      </c>
      <c r="E37" s="22">
        <f t="shared" si="2"/>
        <v>9853.1717143709357</v>
      </c>
      <c r="F37" s="22">
        <f t="shared" si="3"/>
        <v>9853</v>
      </c>
      <c r="G37" s="22">
        <f t="shared" si="4"/>
        <v>8.1745999996201135E-2</v>
      </c>
      <c r="K37" s="22">
        <f>+G37</f>
        <v>8.1745999996201135E-2</v>
      </c>
      <c r="O37" s="22">
        <f t="shared" ca="1" si="5"/>
        <v>6.4027171801651933E-2</v>
      </c>
      <c r="P37" s="29">
        <f t="shared" si="6"/>
        <v>8.5311903844416684E-2</v>
      </c>
      <c r="Q37" s="47">
        <f t="shared" si="7"/>
        <v>40985.032520000001</v>
      </c>
      <c r="R37" s="22">
        <f t="shared" si="8"/>
        <v>1.2715670254718459E-5</v>
      </c>
      <c r="S37" s="22">
        <v>1</v>
      </c>
      <c r="T37" s="22">
        <f t="shared" si="9"/>
        <v>1.2715670254718459E-5</v>
      </c>
    </row>
    <row r="38" spans="1:23" s="22" customFormat="1" ht="12.95" customHeight="1">
      <c r="A38" s="7" t="s">
        <v>60</v>
      </c>
      <c r="B38" s="8" t="s">
        <v>48</v>
      </c>
      <c r="C38" s="7">
        <v>56011.626300000004</v>
      </c>
      <c r="D38" s="7">
        <v>4.0000000000000002E-4</v>
      </c>
      <c r="E38" s="22">
        <f t="shared" si="2"/>
        <v>9870.1733822349415</v>
      </c>
      <c r="F38" s="22">
        <f t="shared" si="3"/>
        <v>9870</v>
      </c>
      <c r="G38" s="22">
        <f t="shared" si="4"/>
        <v>8.2540000003064051E-2</v>
      </c>
      <c r="K38" s="22">
        <f>+G38</f>
        <v>8.2540000003064051E-2</v>
      </c>
      <c r="O38" s="22">
        <f t="shared" ca="1" si="5"/>
        <v>6.4286269842057042E-2</v>
      </c>
      <c r="P38" s="29">
        <f t="shared" si="6"/>
        <v>8.547005030308949E-2</v>
      </c>
      <c r="Q38" s="47">
        <f t="shared" si="7"/>
        <v>40993.126300000004</v>
      </c>
      <c r="R38" s="22">
        <f t="shared" si="8"/>
        <v>8.5851947606791621E-6</v>
      </c>
      <c r="S38" s="22">
        <v>1</v>
      </c>
      <c r="T38" s="22">
        <f t="shared" si="9"/>
        <v>8.5851947606791621E-6</v>
      </c>
    </row>
    <row r="39" spans="1:23" s="22" customFormat="1" ht="12.95" customHeight="1">
      <c r="A39" s="51" t="s">
        <v>61</v>
      </c>
      <c r="B39" s="52" t="s">
        <v>48</v>
      </c>
      <c r="C39" s="51">
        <v>56730.483</v>
      </c>
      <c r="D39" s="51">
        <v>3.5999999999999999E-3</v>
      </c>
      <c r="E39" s="22">
        <f t="shared" si="2"/>
        <v>11380.192539564503</v>
      </c>
      <c r="F39" s="22">
        <f t="shared" si="3"/>
        <v>11380</v>
      </c>
      <c r="G39" s="22">
        <f t="shared" si="4"/>
        <v>9.1659999998228159E-2</v>
      </c>
      <c r="J39" s="22">
        <f>+G39</f>
        <v>9.1659999998228159E-2</v>
      </c>
      <c r="O39" s="22">
        <f t="shared" ca="1" si="5"/>
        <v>8.7300272254510869E-2</v>
      </c>
      <c r="P39" s="29">
        <f t="shared" si="6"/>
        <v>9.9829793881504841E-2</v>
      </c>
      <c r="Q39" s="47">
        <f t="shared" si="7"/>
        <v>41711.983</v>
      </c>
      <c r="R39" s="22">
        <f t="shared" si="8"/>
        <v>6.6745532095225098E-5</v>
      </c>
      <c r="S39" s="22">
        <v>1</v>
      </c>
      <c r="T39" s="22">
        <f t="shared" si="9"/>
        <v>6.6745532095225098E-5</v>
      </c>
    </row>
    <row r="40" spans="1:23" s="22" customFormat="1" ht="12.95" customHeight="1">
      <c r="A40" s="51" t="s">
        <v>61</v>
      </c>
      <c r="B40" s="52" t="s">
        <v>48</v>
      </c>
      <c r="C40" s="51">
        <v>56737.387999999999</v>
      </c>
      <c r="D40" s="51">
        <v>5.4999999999999997E-3</v>
      </c>
      <c r="E40" s="22">
        <f t="shared" si="2"/>
        <v>11394.697074726182</v>
      </c>
      <c r="F40" s="22">
        <f t="shared" si="3"/>
        <v>11394.5</v>
      </c>
      <c r="G40" s="22">
        <f t="shared" si="4"/>
        <v>9.3818999994255137E-2</v>
      </c>
      <c r="J40" s="22">
        <f>+G40</f>
        <v>9.3818999994255137E-2</v>
      </c>
      <c r="O40" s="22">
        <f t="shared" ca="1" si="5"/>
        <v>8.7521267641915229E-2</v>
      </c>
      <c r="P40" s="29">
        <f t="shared" si="6"/>
        <v>9.9970682495021695E-2</v>
      </c>
      <c r="Q40" s="47">
        <f t="shared" si="7"/>
        <v>41718.887999999999</v>
      </c>
      <c r="R40" s="22">
        <f t="shared" si="8"/>
        <v>3.7843197590237503E-5</v>
      </c>
      <c r="S40" s="22">
        <v>1</v>
      </c>
      <c r="T40" s="22">
        <f t="shared" si="9"/>
        <v>3.7843197590237503E-5</v>
      </c>
    </row>
    <row r="41" spans="1:23" s="22" customFormat="1" ht="12.95" customHeight="1">
      <c r="A41" s="53" t="s">
        <v>62</v>
      </c>
      <c r="B41" s="54" t="s">
        <v>48</v>
      </c>
      <c r="C41" s="55">
        <v>57220.447390000001</v>
      </c>
      <c r="D41" s="55">
        <v>4.0000000000000002E-4</v>
      </c>
      <c r="E41" s="22">
        <f t="shared" si="2"/>
        <v>12409.404085216505</v>
      </c>
      <c r="F41" s="22">
        <f>ROUND(2*E41,0)/2-0.5</f>
        <v>12409</v>
      </c>
      <c r="O41" s="22">
        <f t="shared" ca="1" si="5"/>
        <v>0.10298332422962012</v>
      </c>
      <c r="P41" s="29">
        <f t="shared" si="6"/>
        <v>0.10996956225268262</v>
      </c>
      <c r="Q41" s="47">
        <f t="shared" si="7"/>
        <v>42201.947390000001</v>
      </c>
      <c r="U41" s="22">
        <f>+C41-(C$7+F41*C$8)</f>
        <v>0.19236799999634968</v>
      </c>
    </row>
    <row r="42" spans="1:23" s="22" customFormat="1" ht="12.95" customHeight="1">
      <c r="A42" s="24" t="s">
        <v>63</v>
      </c>
      <c r="B42" s="23"/>
      <c r="C42" s="46">
        <v>57746.892899999999</v>
      </c>
      <c r="D42" s="46">
        <v>2.9999999999999997E-4</v>
      </c>
      <c r="E42" s="22">
        <f t="shared" si="2"/>
        <v>13515.247301799354</v>
      </c>
      <c r="F42" s="22">
        <f>ROUND(2*E42,0)/2</f>
        <v>13515</v>
      </c>
      <c r="G42" s="22">
        <f>+C42-(C$7+F42*C$8)</f>
        <v>0.11772999999811873</v>
      </c>
      <c r="K42" s="22">
        <f>+G42</f>
        <v>0.11772999999811873</v>
      </c>
      <c r="O42" s="22">
        <f t="shared" ca="1" si="5"/>
        <v>0.1198399379171525</v>
      </c>
      <c r="P42" s="29">
        <f t="shared" si="6"/>
        <v>0.12118823588548347</v>
      </c>
      <c r="Q42" s="47">
        <f t="shared" si="7"/>
        <v>42728.392899999999</v>
      </c>
      <c r="R42" s="22">
        <f>+(P42-G42)^2</f>
        <v>1.1959395452657399E-5</v>
      </c>
      <c r="S42" s="22">
        <v>1</v>
      </c>
      <c r="T42" s="22">
        <f t="shared" ref="T42:T49" si="11">+S42*R42</f>
        <v>1.1959395452657399E-5</v>
      </c>
    </row>
    <row r="43" spans="1:23" s="22" customFormat="1" ht="12.95" customHeight="1">
      <c r="A43" s="56" t="s">
        <v>68</v>
      </c>
      <c r="B43" s="57" t="s">
        <v>48</v>
      </c>
      <c r="C43" s="58">
        <v>57844.483450000174</v>
      </c>
      <c r="D43" s="58">
        <v>2.9999999999999997E-4</v>
      </c>
      <c r="E43" s="22">
        <f t="shared" si="2"/>
        <v>13720.244487016651</v>
      </c>
      <c r="F43" s="22">
        <f t="shared" ref="F43:F49" si="12">ROUND(2*E43,0)/2-0.5</f>
        <v>13719.5</v>
      </c>
      <c r="O43" s="22">
        <f t="shared" ca="1" si="5"/>
        <v>0.12295673493261397</v>
      </c>
      <c r="P43" s="29">
        <f t="shared" si="6"/>
        <v>0.12329890986996285</v>
      </c>
      <c r="Q43" s="47">
        <f t="shared" si="7"/>
        <v>42825.983450000174</v>
      </c>
      <c r="R43" s="22">
        <f>+(P43-U43)^2</f>
        <v>5.3416496140440639E-2</v>
      </c>
      <c r="S43" s="22">
        <v>1</v>
      </c>
      <c r="T43" s="22">
        <f t="shared" si="11"/>
        <v>5.3416496140440639E-2</v>
      </c>
      <c r="U43" s="22">
        <f>+C43-(C$7+F43*C$8)</f>
        <v>0.35441900017031003</v>
      </c>
    </row>
    <row r="44" spans="1:23" s="22" customFormat="1" ht="12.95" customHeight="1">
      <c r="A44" s="24" t="s">
        <v>64</v>
      </c>
      <c r="B44" s="23"/>
      <c r="C44" s="59">
        <v>58083.951200000003</v>
      </c>
      <c r="D44" s="7">
        <v>2.9999999999999997E-4</v>
      </c>
      <c r="E44" s="22">
        <f t="shared" si="2"/>
        <v>14223.26670279672</v>
      </c>
      <c r="F44" s="22">
        <f t="shared" si="12"/>
        <v>14223</v>
      </c>
      <c r="G44" s="22">
        <f t="shared" ref="G44:G49" si="13">+C44-(C$7+F44*C$8)</f>
        <v>0.12696600000344915</v>
      </c>
      <c r="K44" s="22">
        <f t="shared" ref="K44:K49" si="14">+G44</f>
        <v>0.12696600000344915</v>
      </c>
      <c r="O44" s="22">
        <f t="shared" ca="1" si="5"/>
        <v>0.13063060924696529</v>
      </c>
      <c r="P44" s="29">
        <f t="shared" si="6"/>
        <v>0.12854393735282862</v>
      </c>
      <c r="Q44" s="47">
        <f t="shared" si="7"/>
        <v>43065.451200000003</v>
      </c>
      <c r="R44" s="22">
        <f t="shared" ref="R44:R49" si="15">+(P44-G44)^2</f>
        <v>2.4898862785667117E-6</v>
      </c>
      <c r="S44" s="22">
        <v>1</v>
      </c>
      <c r="T44" s="22">
        <f t="shared" si="11"/>
        <v>2.4898862785667117E-6</v>
      </c>
    </row>
    <row r="45" spans="1:23" s="22" customFormat="1" ht="12.95" customHeight="1">
      <c r="A45" s="60" t="s">
        <v>67</v>
      </c>
      <c r="B45" s="61" t="s">
        <v>55</v>
      </c>
      <c r="C45" s="62">
        <v>58138.462090000001</v>
      </c>
      <c r="D45" s="62">
        <v>1.9000000000000001E-4</v>
      </c>
      <c r="E45" s="22">
        <f t="shared" si="2"/>
        <v>14337.771427010992</v>
      </c>
      <c r="F45" s="22">
        <f t="shared" si="12"/>
        <v>14337.5</v>
      </c>
      <c r="G45" s="22">
        <f t="shared" si="13"/>
        <v>0.12921500000084052</v>
      </c>
      <c r="K45" s="22">
        <f t="shared" si="14"/>
        <v>0.12921500000084052</v>
      </c>
      <c r="O45" s="22">
        <f t="shared" ca="1" si="5"/>
        <v>0.13237571075439969</v>
      </c>
      <c r="P45" s="29">
        <f t="shared" si="6"/>
        <v>0.12974629310927516</v>
      </c>
      <c r="Q45" s="47">
        <f t="shared" si="7"/>
        <v>43119.962090000001</v>
      </c>
      <c r="R45" s="22">
        <f t="shared" si="15"/>
        <v>2.8227236707014043E-7</v>
      </c>
      <c r="S45" s="22">
        <v>1</v>
      </c>
      <c r="T45" s="22">
        <f t="shared" si="11"/>
        <v>2.8227236707014043E-7</v>
      </c>
    </row>
    <row r="46" spans="1:23" s="22" customFormat="1" ht="12.95" customHeight="1">
      <c r="A46" s="24" t="s">
        <v>65</v>
      </c>
      <c r="B46" s="23" t="s">
        <v>48</v>
      </c>
      <c r="C46" s="46">
        <v>58461.953800000003</v>
      </c>
      <c r="D46" s="46">
        <v>4.0000000000000002E-4</v>
      </c>
      <c r="E46" s="22">
        <f t="shared" si="2"/>
        <v>15017.293060929553</v>
      </c>
      <c r="F46" s="22">
        <f t="shared" si="12"/>
        <v>15017</v>
      </c>
      <c r="G46" s="22">
        <f t="shared" si="13"/>
        <v>0.13951400000223657</v>
      </c>
      <c r="K46" s="22">
        <f t="shared" si="14"/>
        <v>0.13951400000223657</v>
      </c>
      <c r="O46" s="22">
        <f t="shared" ca="1" si="5"/>
        <v>0.14273201184000389</v>
      </c>
      <c r="P46" s="29">
        <f t="shared" si="6"/>
        <v>0.13695481940310353</v>
      </c>
      <c r="Q46" s="47">
        <f t="shared" si="7"/>
        <v>43443.453800000003</v>
      </c>
      <c r="R46" s="22">
        <f t="shared" si="15"/>
        <v>6.5494053389789609E-6</v>
      </c>
      <c r="S46" s="22">
        <v>1</v>
      </c>
      <c r="T46" s="22">
        <f t="shared" si="11"/>
        <v>6.5494053389789609E-6</v>
      </c>
    </row>
    <row r="47" spans="1:23" s="22" customFormat="1" ht="12.95" customHeight="1">
      <c r="A47" s="56" t="s">
        <v>69</v>
      </c>
      <c r="B47" s="57" t="s">
        <v>48</v>
      </c>
      <c r="C47" s="58">
        <v>58898.0406</v>
      </c>
      <c r="D47" s="58" t="s">
        <v>70</v>
      </c>
      <c r="E47" s="22">
        <f t="shared" si="2"/>
        <v>15933.330182456757</v>
      </c>
      <c r="F47" s="22">
        <f t="shared" si="12"/>
        <v>15933</v>
      </c>
      <c r="G47" s="22">
        <f t="shared" si="13"/>
        <v>0.15718599999672733</v>
      </c>
      <c r="K47" s="22">
        <f t="shared" si="14"/>
        <v>0.15718599999672733</v>
      </c>
      <c r="O47" s="22">
        <f t="shared" ca="1" si="5"/>
        <v>0.15669282389947919</v>
      </c>
      <c r="P47" s="29">
        <f t="shared" si="6"/>
        <v>0.14687042114334997</v>
      </c>
      <c r="Q47" s="47">
        <f t="shared" si="7"/>
        <v>43879.5406</v>
      </c>
      <c r="R47" s="22">
        <f t="shared" si="15"/>
        <v>1.0641116708024619E-4</v>
      </c>
      <c r="S47" s="22">
        <v>1</v>
      </c>
      <c r="T47" s="22">
        <f t="shared" si="11"/>
        <v>1.0641116708024619E-4</v>
      </c>
    </row>
    <row r="48" spans="1:23" s="22" customFormat="1" ht="12.95" customHeight="1">
      <c r="A48" s="24" t="s">
        <v>66</v>
      </c>
      <c r="B48" s="23"/>
      <c r="C48" s="46">
        <v>58929.698900000003</v>
      </c>
      <c r="D48" s="46">
        <v>2.0000000000000001E-4</v>
      </c>
      <c r="E48" s="22">
        <f t="shared" si="2"/>
        <v>15999.831113015643</v>
      </c>
      <c r="F48" s="22">
        <f t="shared" si="12"/>
        <v>15999.5</v>
      </c>
      <c r="G48" s="22">
        <f t="shared" si="13"/>
        <v>0.15762900000117952</v>
      </c>
      <c r="K48" s="22">
        <f t="shared" si="14"/>
        <v>0.15762900000117952</v>
      </c>
      <c r="O48" s="22">
        <f t="shared" ca="1" si="5"/>
        <v>0.15770635446929918</v>
      </c>
      <c r="P48" s="29">
        <f t="shared" si="6"/>
        <v>0.1475991348172985</v>
      </c>
      <c r="Q48" s="47">
        <f t="shared" si="7"/>
        <v>43911.198900000003</v>
      </c>
      <c r="R48" s="22">
        <f t="shared" si="15"/>
        <v>1.0059819560682866E-4</v>
      </c>
      <c r="S48" s="22">
        <v>1</v>
      </c>
      <c r="T48" s="22">
        <f t="shared" si="11"/>
        <v>1.0059819560682866E-4</v>
      </c>
    </row>
    <row r="49" spans="1:20" s="22" customFormat="1" ht="12.95" customHeight="1">
      <c r="A49" s="21" t="s">
        <v>177</v>
      </c>
      <c r="B49" s="63" t="s">
        <v>55</v>
      </c>
      <c r="C49" s="64">
        <v>59705.703800000003</v>
      </c>
      <c r="D49" s="65">
        <v>4.0000000000000002E-4</v>
      </c>
      <c r="E49" s="22">
        <f t="shared" si="2"/>
        <v>17629.894886757498</v>
      </c>
      <c r="F49" s="22">
        <f t="shared" si="12"/>
        <v>17629.5</v>
      </c>
      <c r="G49" s="22">
        <f t="shared" si="13"/>
        <v>0.18798899999819696</v>
      </c>
      <c r="K49" s="22">
        <f t="shared" si="14"/>
        <v>0.18798899999819696</v>
      </c>
      <c r="O49" s="22">
        <f t="shared" ca="1" si="5"/>
        <v>0.18254928422578903</v>
      </c>
      <c r="P49" s="29">
        <f t="shared" si="6"/>
        <v>0.1658357578901726</v>
      </c>
      <c r="Q49" s="47">
        <f t="shared" si="7"/>
        <v>44687.203800000003</v>
      </c>
      <c r="R49" s="22">
        <f t="shared" si="15"/>
        <v>4.9076613589674341E-4</v>
      </c>
      <c r="S49" s="22">
        <v>1</v>
      </c>
      <c r="T49" s="22">
        <f t="shared" si="11"/>
        <v>4.9076613589674341E-4</v>
      </c>
    </row>
    <row r="50" spans="1:20" s="22" customFormat="1" ht="12.95" customHeight="1">
      <c r="B50" s="23"/>
    </row>
    <row r="51" spans="1:20" s="22" customFormat="1" ht="12.95" customHeight="1">
      <c r="B51" s="23"/>
    </row>
    <row r="52" spans="1:20" s="22" customFormat="1" ht="12.95" customHeight="1">
      <c r="B52" s="23"/>
    </row>
    <row r="53" spans="1:20" s="22" customFormat="1" ht="12.95" customHeight="1">
      <c r="B53" s="23"/>
    </row>
    <row r="54" spans="1:20" s="22" customFormat="1" ht="12.95" customHeight="1">
      <c r="B54" s="23"/>
    </row>
    <row r="55" spans="1:20" s="22" customFormat="1" ht="12.95" customHeight="1">
      <c r="B55" s="23"/>
    </row>
    <row r="56" spans="1:20" s="22" customFormat="1" ht="12.95" customHeight="1"/>
    <row r="57" spans="1:20" s="22" customFormat="1" ht="12.95" customHeight="1"/>
    <row r="58" spans="1:20" s="22" customFormat="1" ht="12.95" customHeight="1"/>
    <row r="59" spans="1:20" s="22" customFormat="1" ht="12.95" customHeight="1"/>
    <row r="60" spans="1:20" s="22" customFormat="1" ht="12.95" customHeight="1"/>
    <row r="61" spans="1:20" s="22" customFormat="1" ht="12.95" customHeight="1"/>
    <row r="62" spans="1:20" s="22" customFormat="1" ht="12.95" customHeight="1"/>
    <row r="63" spans="1:20" s="22" customFormat="1" ht="12.95" customHeight="1"/>
    <row r="64" spans="1:20" s="22" customFormat="1" ht="12.95" customHeight="1"/>
    <row r="65" s="22" customFormat="1" ht="12.95" customHeight="1"/>
    <row r="66" s="22" customFormat="1" ht="12.95" customHeight="1"/>
    <row r="67" s="22" customFormat="1" ht="12.95" customHeight="1"/>
    <row r="68" s="22" customFormat="1" ht="12.95" customHeight="1"/>
    <row r="69" s="22" customFormat="1" ht="12.95" customHeight="1"/>
    <row r="70" s="22" customFormat="1" ht="12.95" customHeight="1"/>
    <row r="71" s="22" customFormat="1" ht="12.95" customHeight="1"/>
    <row r="72" s="22" customFormat="1" ht="12.95" customHeight="1"/>
    <row r="73" s="22" customFormat="1" ht="12.95" customHeight="1"/>
    <row r="74" s="22" customFormat="1" ht="12.95" customHeight="1"/>
    <row r="75" s="22" customFormat="1" ht="12.95" customHeight="1"/>
    <row r="76" s="22" customFormat="1" ht="12.95" customHeight="1"/>
    <row r="77" s="22" customFormat="1" ht="12.95" customHeight="1"/>
    <row r="78" s="22" customFormat="1" ht="12.95" customHeight="1"/>
    <row r="79" s="22" customFormat="1" ht="12.95" customHeight="1"/>
    <row r="80" s="22" customFormat="1" ht="12.95" customHeight="1"/>
    <row r="81" s="22" customFormat="1" ht="12.95" customHeight="1"/>
    <row r="82" s="22" customFormat="1" ht="12.95" customHeight="1"/>
    <row r="83" s="22" customFormat="1" ht="12.95" customHeight="1"/>
    <row r="84" s="22" customFormat="1" ht="12.95" customHeight="1"/>
    <row r="85" s="22" customFormat="1" ht="12.95" customHeight="1"/>
    <row r="86" s="22" customFormat="1" ht="12.95" customHeight="1"/>
    <row r="87" s="22" customFormat="1" ht="12.95" customHeight="1"/>
    <row r="88" s="22" customFormat="1" ht="12.95" customHeight="1"/>
    <row r="89" s="22" customFormat="1" ht="12.95" customHeight="1"/>
    <row r="90" s="22" customFormat="1" ht="12.95" customHeight="1"/>
    <row r="91" s="22" customFormat="1" ht="12.95" customHeight="1"/>
    <row r="92" s="22" customFormat="1" ht="12.95" customHeight="1"/>
    <row r="93" s="22" customFormat="1" ht="12.95" customHeight="1"/>
    <row r="94" s="22" customFormat="1" ht="12.95" customHeight="1"/>
    <row r="95" s="22" customFormat="1" ht="12.95" customHeight="1"/>
    <row r="96" s="22" customFormat="1" ht="12.95" customHeight="1"/>
    <row r="97" s="22" customFormat="1" ht="12.95" customHeight="1"/>
    <row r="98" s="22" customFormat="1" ht="12.95" customHeight="1"/>
    <row r="99" s="22" customFormat="1" ht="12.95" customHeight="1"/>
    <row r="100" s="22" customFormat="1" ht="12.95" customHeight="1"/>
    <row r="101" s="22" customFormat="1" ht="12.95" customHeight="1"/>
    <row r="102" s="22" customFormat="1" ht="12.95" customHeight="1"/>
    <row r="103" s="22" customFormat="1" ht="12.95" customHeight="1"/>
    <row r="104" s="22" customFormat="1" ht="12.95" customHeight="1"/>
    <row r="105" s="22" customFormat="1" ht="12.95" customHeight="1"/>
    <row r="106" s="22" customFormat="1" ht="12.95" customHeight="1"/>
    <row r="107" s="22" customFormat="1" ht="12.95" customHeight="1"/>
    <row r="108" s="22" customFormat="1" ht="12.95" customHeight="1"/>
    <row r="109" s="22" customFormat="1" ht="12.95" customHeight="1"/>
    <row r="110" s="22" customFormat="1" ht="12.95" customHeight="1"/>
    <row r="111" s="22" customFormat="1" ht="12.95" customHeight="1"/>
    <row r="112" s="22" customFormat="1" ht="12.95" customHeight="1"/>
    <row r="113" s="22" customFormat="1" ht="12.95" customHeight="1"/>
    <row r="114" s="22" customFormat="1" ht="12.95" customHeight="1"/>
    <row r="115" s="22" customFormat="1" ht="12.95" customHeight="1"/>
    <row r="116" s="22" customFormat="1" ht="12.95" customHeight="1"/>
    <row r="117" s="22" customFormat="1" ht="12.95" customHeight="1"/>
    <row r="118" s="22" customFormat="1" ht="12.95" customHeight="1"/>
    <row r="119" s="22" customFormat="1" ht="12.95" customHeight="1"/>
    <row r="120" s="22" customFormat="1" ht="12.95" customHeight="1"/>
    <row r="121" s="22" customFormat="1" ht="12.95" customHeight="1"/>
    <row r="122" s="22" customFormat="1" ht="12.95" customHeight="1"/>
    <row r="123" s="22" customFormat="1" ht="12.95" customHeight="1"/>
    <row r="124" s="22" customFormat="1" ht="12.95" customHeight="1"/>
    <row r="125" s="22" customFormat="1" ht="12.95" customHeight="1"/>
    <row r="126" s="22" customFormat="1" ht="12.95" customHeight="1"/>
    <row r="127" s="22" customFormat="1" ht="12.95" customHeight="1"/>
    <row r="128" s="22" customFormat="1" ht="12.95" customHeight="1"/>
    <row r="129" s="22" customFormat="1" ht="12.95" customHeight="1"/>
    <row r="130" s="22" customFormat="1" ht="12.95" customHeight="1"/>
    <row r="131" s="22" customFormat="1" ht="12.95" customHeight="1"/>
    <row r="132" s="22" customFormat="1" ht="12.95" customHeight="1"/>
    <row r="133" s="22" customFormat="1" ht="12.95" customHeight="1"/>
    <row r="134" s="22" customFormat="1" ht="12.95" customHeight="1"/>
    <row r="135" s="22" customFormat="1" ht="12.95" customHeight="1"/>
    <row r="136" s="22" customFormat="1" ht="12.95" customHeight="1"/>
    <row r="137" s="22" customFormat="1" ht="12.95" customHeight="1"/>
    <row r="138" s="22" customFormat="1" ht="12.95" customHeight="1"/>
    <row r="139" s="22" customFormat="1" ht="12.95" customHeight="1"/>
    <row r="140" s="22" customFormat="1" ht="12.95" customHeight="1"/>
    <row r="141" s="22" customFormat="1" ht="12.95" customHeight="1"/>
    <row r="142" s="22" customFormat="1" ht="12.95" customHeight="1"/>
    <row r="143" s="22" customFormat="1" ht="12.95" customHeight="1"/>
    <row r="144" s="22" customFormat="1" ht="12.95" customHeight="1"/>
    <row r="145" s="22" customFormat="1" ht="12.95" customHeight="1"/>
    <row r="146" s="22" customFormat="1" ht="12.95" customHeight="1"/>
    <row r="147" s="22" customFormat="1" ht="12.95" customHeight="1"/>
    <row r="148" s="22" customFormat="1" ht="12.95" customHeight="1"/>
    <row r="149" s="22" customFormat="1" ht="12.95" customHeight="1"/>
    <row r="150" s="22" customFormat="1" ht="12.95" customHeight="1"/>
    <row r="151" s="22" customFormat="1" ht="12.95" customHeight="1"/>
    <row r="152" s="22" customFormat="1" ht="12.95" customHeight="1"/>
    <row r="153" s="22" customFormat="1" ht="12.95" customHeight="1"/>
    <row r="154" s="22" customFormat="1" ht="12.95" customHeight="1"/>
    <row r="155" s="22" customFormat="1" ht="12.95" customHeight="1"/>
    <row r="156" s="22" customFormat="1" ht="12.95" customHeight="1"/>
    <row r="157" s="22" customFormat="1" ht="12.95" customHeight="1"/>
    <row r="158" s="22" customFormat="1" ht="12.95" customHeight="1"/>
    <row r="159" s="22" customFormat="1" ht="12.95" customHeight="1"/>
    <row r="160" s="22" customFormat="1" ht="12.95" customHeight="1"/>
    <row r="161" s="22" customFormat="1" ht="12.95" customHeight="1"/>
    <row r="162" s="22" customFormat="1" ht="12.95" customHeight="1"/>
    <row r="163" s="22" customFormat="1" ht="12.95" customHeight="1"/>
    <row r="164" s="22" customFormat="1" ht="12.95" customHeight="1"/>
    <row r="165" s="22" customFormat="1" ht="12.95" customHeight="1"/>
    <row r="166" s="22" customFormat="1" ht="12.95" customHeight="1"/>
    <row r="167" s="22" customFormat="1" ht="12.95" customHeight="1"/>
    <row r="168" s="22" customFormat="1" ht="12.95" customHeight="1"/>
    <row r="169" s="22" customFormat="1" ht="12.95" customHeight="1"/>
    <row r="170" s="22" customFormat="1" ht="12.95" customHeight="1"/>
    <row r="171" s="22" customFormat="1" ht="12.95" customHeight="1"/>
    <row r="172" s="22" customFormat="1" ht="12.95" customHeight="1"/>
    <row r="173" s="22" customFormat="1" ht="12.95" customHeight="1"/>
    <row r="174" s="22" customFormat="1" ht="12.95" customHeight="1"/>
    <row r="175" s="22" customFormat="1" ht="12.95" customHeight="1"/>
    <row r="176" s="22" customFormat="1" ht="12.95" customHeight="1"/>
    <row r="177" s="22" customFormat="1" ht="12.95" customHeight="1"/>
    <row r="178" s="22" customFormat="1" ht="12.95" customHeight="1"/>
    <row r="179" s="22" customFormat="1" ht="12.95" customHeight="1"/>
    <row r="180" s="22" customFormat="1" ht="12.95" customHeight="1"/>
    <row r="181" s="22" customFormat="1" ht="12.95" customHeight="1"/>
    <row r="182" s="22" customFormat="1" ht="12.95" customHeight="1"/>
    <row r="183" s="22" customFormat="1" ht="12.95" customHeight="1"/>
    <row r="184" s="22" customFormat="1" ht="12.95" customHeight="1"/>
    <row r="185" s="22" customFormat="1" ht="12.95" customHeight="1"/>
    <row r="186" s="22" customFormat="1" ht="12.95" customHeight="1"/>
    <row r="187" s="22" customFormat="1" ht="12.95" customHeight="1"/>
    <row r="188" s="22" customFormat="1" ht="12.95" customHeight="1"/>
    <row r="189" s="22" customFormat="1" ht="12.95" customHeight="1"/>
    <row r="190" s="22" customFormat="1" ht="12.95" customHeight="1"/>
    <row r="191" s="22" customFormat="1" ht="12.95" customHeight="1"/>
    <row r="192" s="22" customFormat="1" ht="12.95" customHeight="1"/>
    <row r="193" s="22" customFormat="1" ht="12.95" customHeight="1"/>
    <row r="194" s="22" customFormat="1" ht="12.95" customHeight="1"/>
    <row r="195" s="22" customFormat="1" ht="12.95" customHeight="1"/>
    <row r="196" s="22" customFormat="1" ht="12.95" customHeight="1"/>
    <row r="197" s="22" customFormat="1" ht="12.95" customHeight="1"/>
    <row r="198" s="22" customFormat="1" ht="12.95" customHeight="1"/>
    <row r="199" s="22" customFormat="1" ht="12.95" customHeight="1"/>
    <row r="200" s="22" customFormat="1" ht="12.95" customHeight="1"/>
    <row r="201" s="22" customFormat="1" ht="12.95" customHeight="1"/>
    <row r="202" s="22" customFormat="1" ht="12.95" customHeight="1"/>
    <row r="203" s="22" customFormat="1" ht="12.95" customHeight="1"/>
    <row r="204" s="22" customFormat="1" ht="12.95" customHeight="1"/>
    <row r="205" s="22" customFormat="1" ht="12.95" customHeight="1"/>
    <row r="206" s="22" customFormat="1" ht="12.95" customHeight="1"/>
    <row r="207" s="22" customFormat="1" ht="12.95" customHeight="1"/>
    <row r="208" s="22" customFormat="1" ht="12.95" customHeight="1"/>
    <row r="209" s="22" customFormat="1" ht="12.95" customHeight="1"/>
    <row r="210" s="22" customFormat="1" ht="12.95" customHeight="1"/>
    <row r="211" s="22" customFormat="1" ht="12.95" customHeight="1"/>
    <row r="212" s="22" customFormat="1" ht="12.95" customHeight="1"/>
    <row r="213" s="22" customFormat="1" ht="12.95" customHeight="1"/>
    <row r="214" s="22" customFormat="1" ht="12.95" customHeight="1"/>
    <row r="215" s="22" customFormat="1" ht="12.95" customHeight="1"/>
    <row r="216" s="22" customFormat="1" ht="12.95" customHeight="1"/>
    <row r="217" s="22" customFormat="1" ht="12.95" customHeight="1"/>
    <row r="218" s="22" customFormat="1" ht="12.95" customHeight="1"/>
    <row r="219" s="22" customFormat="1" ht="12.95" customHeight="1"/>
    <row r="220" s="22" customFormat="1" ht="12.95" customHeight="1"/>
    <row r="221" s="22" customFormat="1" ht="12.95" customHeight="1"/>
    <row r="222" s="22" customFormat="1" ht="12.95" customHeight="1"/>
    <row r="223" s="22" customFormat="1" ht="12.95" customHeight="1"/>
    <row r="224" s="22" customFormat="1" ht="12.95" customHeight="1"/>
    <row r="225" s="22" customFormat="1" ht="12.95" customHeight="1"/>
    <row r="226" s="22" customFormat="1" ht="12.95" customHeight="1"/>
    <row r="227" s="22" customFormat="1" ht="12.95" customHeight="1"/>
    <row r="228" s="22" customFormat="1" ht="12.95" customHeight="1"/>
    <row r="229" s="22" customFormat="1" ht="12.95" customHeight="1"/>
    <row r="230" s="22" customFormat="1" ht="12.95" customHeight="1"/>
    <row r="231" s="22" customFormat="1" ht="12.95" customHeight="1"/>
    <row r="232" s="22" customFormat="1" ht="12.95" customHeight="1"/>
    <row r="233" s="22" customFormat="1" ht="12.95" customHeight="1"/>
    <row r="234" s="22" customFormat="1" ht="12.95" customHeight="1"/>
    <row r="235" s="22" customFormat="1" ht="12.95" customHeight="1"/>
    <row r="236" s="22" customFormat="1" ht="12.95" customHeight="1"/>
    <row r="237" s="22" customFormat="1" ht="12.95" customHeight="1"/>
    <row r="238" s="22" customFormat="1" ht="12.95" customHeight="1"/>
    <row r="239" s="22" customFormat="1" ht="12.95" customHeight="1"/>
    <row r="240" s="22" customFormat="1" ht="12.95" customHeight="1"/>
    <row r="241" s="22" customFormat="1" ht="12.95" customHeight="1"/>
    <row r="242" s="22" customFormat="1" ht="12.95" customHeight="1"/>
    <row r="243" s="22" customFormat="1" ht="12.95" customHeight="1"/>
    <row r="244" s="22" customFormat="1" ht="12.95" customHeight="1"/>
    <row r="245" s="22" customFormat="1" ht="12.95" customHeight="1"/>
    <row r="246" s="22" customFormat="1" ht="12.95" customHeight="1"/>
    <row r="247" s="22" customFormat="1" ht="12.95" customHeight="1"/>
    <row r="248" s="22" customFormat="1" ht="12.95" customHeight="1"/>
    <row r="249" s="22" customFormat="1" ht="12.95" customHeight="1"/>
    <row r="250" s="22" customFormat="1" ht="12.95" customHeight="1"/>
    <row r="251" s="22" customFormat="1" ht="12.95" customHeight="1"/>
    <row r="252" s="22" customFormat="1" ht="12.95" customHeight="1"/>
    <row r="253" s="22" customFormat="1" ht="12.95" customHeight="1"/>
    <row r="254" s="22" customFormat="1" ht="12.95" customHeight="1"/>
    <row r="255" s="22" customFormat="1" ht="12.95" customHeight="1"/>
    <row r="256" s="22" customFormat="1" ht="12.95" customHeight="1"/>
    <row r="257" s="22" customFormat="1" ht="12.95" customHeight="1"/>
    <row r="258" s="22" customFormat="1" ht="12.95" customHeight="1"/>
    <row r="259" s="22" customFormat="1" ht="12.95" customHeight="1"/>
    <row r="260" s="22" customFormat="1" ht="12.95" customHeight="1"/>
    <row r="261" s="22" customFormat="1" ht="12.95" customHeight="1"/>
    <row r="262" s="22" customFormat="1" ht="12.95" customHeight="1"/>
    <row r="263" s="22" customFormat="1" ht="12.95" customHeight="1"/>
    <row r="264" s="22" customFormat="1" ht="12.95" customHeight="1"/>
    <row r="265" s="22" customFormat="1" ht="12.95" customHeight="1"/>
    <row r="266" s="22" customFormat="1" ht="12.95" customHeight="1"/>
    <row r="267" s="22" customFormat="1" ht="12.95" customHeight="1"/>
    <row r="268" s="22" customFormat="1" ht="12.95" customHeight="1"/>
    <row r="269" s="22" customFormat="1" ht="12.95" customHeight="1"/>
    <row r="270" s="22" customFormat="1" ht="12.95" customHeight="1"/>
    <row r="271" s="22" customFormat="1" ht="12.95" customHeight="1"/>
    <row r="272" s="22" customFormat="1" ht="12.95" customHeight="1"/>
    <row r="273" s="22" customFormat="1" ht="12.95" customHeight="1"/>
    <row r="274" s="22" customFormat="1" ht="12.95" customHeight="1"/>
    <row r="275" s="22" customFormat="1" ht="12.95" customHeight="1"/>
    <row r="276" s="22" customFormat="1" ht="12.95" customHeight="1"/>
    <row r="277" s="22" customFormat="1" ht="12.95" customHeight="1"/>
    <row r="278" s="22" customFormat="1" ht="12.95" customHeight="1"/>
    <row r="279" s="22" customFormat="1" ht="12.95" customHeight="1"/>
    <row r="280" s="22" customFormat="1" ht="12.95" customHeight="1"/>
    <row r="281" s="22" customFormat="1" ht="12.95" customHeight="1"/>
    <row r="282" s="22" customFormat="1" ht="12.95" customHeight="1"/>
    <row r="283" s="22" customFormat="1" ht="12.95" customHeight="1"/>
    <row r="284" s="22" customFormat="1" ht="12.95" customHeight="1"/>
    <row r="285" s="22" customFormat="1" ht="12.95" customHeight="1"/>
    <row r="286" s="22" customFormat="1" ht="12.95" customHeight="1"/>
    <row r="287" s="22" customFormat="1" ht="12.95" customHeight="1"/>
    <row r="288" s="22" customFormat="1" ht="12.95" customHeight="1"/>
    <row r="289" s="22" customFormat="1" ht="12.95" customHeight="1"/>
    <row r="290" s="22" customFormat="1" ht="12.95" customHeight="1"/>
    <row r="291" s="22" customFormat="1" ht="12.95" customHeight="1"/>
    <row r="292" s="22" customFormat="1" ht="12.95" customHeight="1"/>
    <row r="293" s="22" customFormat="1" ht="12.95" customHeight="1"/>
    <row r="294" s="22" customFormat="1" ht="12.95" customHeight="1"/>
    <row r="295" s="22" customFormat="1" ht="12.95" customHeight="1"/>
    <row r="296" s="22" customFormat="1" ht="12.95" customHeight="1"/>
    <row r="297" s="22" customFormat="1" ht="12.95" customHeight="1"/>
    <row r="298" s="22" customFormat="1" ht="12.95" customHeight="1"/>
    <row r="299" s="22" customFormat="1" ht="12.95" customHeight="1"/>
    <row r="300" s="22" customFormat="1" ht="12.95" customHeight="1"/>
    <row r="301" s="22" customFormat="1" ht="12.95" customHeight="1"/>
    <row r="302" s="22" customFormat="1" ht="12.95" customHeight="1"/>
    <row r="303" s="22" customFormat="1" ht="12.95" customHeight="1"/>
    <row r="304" s="22" customFormat="1" ht="12.95" customHeight="1"/>
    <row r="305" s="22" customFormat="1" ht="12.95" customHeight="1"/>
    <row r="306" s="22" customFormat="1" ht="12.95" customHeight="1"/>
    <row r="307" s="22" customFormat="1" ht="12.95" customHeight="1"/>
    <row r="308" s="22" customFormat="1" ht="12.95" customHeight="1"/>
    <row r="309" s="22" customFormat="1" ht="12.95" customHeight="1"/>
    <row r="310" s="22" customFormat="1" ht="12.95" customHeight="1"/>
    <row r="311" s="22" customFormat="1" ht="12.95" customHeight="1"/>
    <row r="312" s="22" customFormat="1" ht="12.95" customHeight="1"/>
    <row r="313" s="22" customFormat="1" ht="12.95" customHeight="1"/>
    <row r="314" s="22" customFormat="1" ht="12.95" customHeight="1"/>
    <row r="315" s="22" customFormat="1" ht="12.95" customHeight="1"/>
    <row r="316" s="22" customFormat="1" ht="12.95" customHeight="1"/>
    <row r="317" s="22" customFormat="1" ht="12.95" customHeight="1"/>
    <row r="318" s="22" customFormat="1" ht="12.95" customHeight="1"/>
    <row r="319" s="22" customFormat="1" ht="12.95" customHeight="1"/>
    <row r="320" s="22" customFormat="1" ht="12.95" customHeight="1"/>
    <row r="321" s="22" customFormat="1" ht="12.95" customHeight="1"/>
    <row r="322" s="22" customFormat="1" ht="12.95" customHeight="1"/>
    <row r="323" s="22" customFormat="1" ht="12.95" customHeight="1"/>
    <row r="324" s="22" customFormat="1" ht="12.95" customHeight="1"/>
    <row r="325" s="22" customFormat="1" ht="12.95" customHeight="1"/>
    <row r="326" s="22" customFormat="1" ht="12.95" customHeight="1"/>
    <row r="327" s="22" customFormat="1" ht="12.95" customHeight="1"/>
    <row r="328" s="22" customFormat="1" ht="12.95" customHeight="1"/>
    <row r="329" s="22" customFormat="1" ht="12.95" customHeight="1"/>
    <row r="330" s="22" customFormat="1" ht="12.95" customHeight="1"/>
    <row r="331" s="22" customFormat="1" ht="12.95" customHeight="1"/>
    <row r="332" s="22" customFormat="1" ht="12.95" customHeight="1"/>
    <row r="333" s="22" customFormat="1" ht="12.95" customHeight="1"/>
    <row r="334" s="22" customFormat="1" ht="12.95" customHeight="1"/>
    <row r="335" s="22" customFormat="1" ht="12.95" customHeight="1"/>
    <row r="336" s="22" customFormat="1" ht="12.95" customHeight="1"/>
    <row r="337" s="22" customFormat="1" ht="12.95" customHeight="1"/>
    <row r="338" s="22" customFormat="1" ht="12.95" customHeight="1"/>
    <row r="339" s="22" customFormat="1" ht="12.95" customHeight="1"/>
    <row r="340" s="22" customFormat="1" ht="12.95" customHeight="1"/>
    <row r="341" s="22" customFormat="1" ht="12.95" customHeight="1"/>
    <row r="342" s="22" customFormat="1" ht="12.95" customHeight="1"/>
    <row r="343" s="22" customFormat="1" ht="12.95" customHeight="1"/>
    <row r="344" s="22" customFormat="1" ht="12.95" customHeight="1"/>
    <row r="345" s="22" customFormat="1" ht="12.95" customHeight="1"/>
    <row r="346" s="22" customFormat="1" ht="12.95" customHeight="1"/>
    <row r="347" s="22" customFormat="1" ht="12.95" customHeight="1"/>
    <row r="348" s="22" customFormat="1" ht="12.95" customHeight="1"/>
    <row r="349" s="22" customFormat="1" ht="12.95" customHeight="1"/>
    <row r="350" s="22" customFormat="1" ht="12.95" customHeight="1"/>
    <row r="351" s="22" customFormat="1" ht="12.95" customHeight="1"/>
    <row r="352" s="22" customFormat="1" ht="12.95" customHeight="1"/>
    <row r="353" s="22" customFormat="1" ht="12.95" customHeight="1"/>
    <row r="354" s="22" customFormat="1" ht="12.95" customHeight="1"/>
    <row r="355" s="22" customFormat="1" ht="12.95" customHeight="1"/>
    <row r="356" s="22" customFormat="1" ht="12.95" customHeight="1"/>
    <row r="357" s="22" customFormat="1" ht="12.95" customHeight="1"/>
    <row r="358" s="22" customFormat="1" ht="12.95" customHeight="1"/>
    <row r="359" s="22" customFormat="1" ht="12.95" customHeight="1"/>
    <row r="360" s="22" customFormat="1" ht="12.95" customHeight="1"/>
    <row r="361" s="22" customFormat="1" ht="12.95" customHeight="1"/>
    <row r="362" s="22" customFormat="1" ht="12.95" customHeight="1"/>
    <row r="363" s="22" customFormat="1" ht="12.95" customHeight="1"/>
    <row r="364" s="22" customFormat="1" ht="12.95" customHeight="1"/>
    <row r="365" s="22" customFormat="1" ht="12.95" customHeight="1"/>
    <row r="366" s="22" customFormat="1" ht="12.95" customHeight="1"/>
    <row r="367" s="22" customFormat="1" ht="12.95" customHeight="1"/>
    <row r="368" s="22" customFormat="1" ht="12.95" customHeight="1"/>
    <row r="369" s="22" customFormat="1" ht="12.95" customHeight="1"/>
    <row r="370" s="22" customFormat="1" ht="12.95" customHeight="1"/>
    <row r="371" s="22" customFormat="1" ht="12.95" customHeight="1"/>
    <row r="372" s="22" customFormat="1" ht="12.95" customHeight="1"/>
    <row r="373" s="22" customFormat="1" ht="12.95" customHeight="1"/>
    <row r="374" s="22" customFormat="1" ht="12.95" customHeight="1"/>
    <row r="375" s="22" customFormat="1" ht="12.95" customHeight="1"/>
    <row r="376" s="22" customFormat="1" ht="12.95" customHeight="1"/>
    <row r="377" s="22" customFormat="1" ht="12.95" customHeight="1"/>
    <row r="378" s="22" customFormat="1" ht="12.95" customHeight="1"/>
    <row r="379" s="22" customFormat="1" ht="12.95" customHeight="1"/>
    <row r="380" s="22" customFormat="1" ht="12.95" customHeight="1"/>
    <row r="381" s="22" customFormat="1" ht="12.95" customHeight="1"/>
    <row r="382" s="22" customFormat="1" ht="12.95" customHeight="1"/>
    <row r="383" s="22" customFormat="1" ht="12.95" customHeight="1"/>
    <row r="384" s="22" customFormat="1" ht="12.95" customHeight="1"/>
    <row r="385" s="22" customFormat="1" ht="12.95" customHeight="1"/>
    <row r="386" s="22" customFormat="1" ht="12.95" customHeight="1"/>
    <row r="387" s="22" customFormat="1" ht="12.95" customHeight="1"/>
    <row r="388" s="22" customFormat="1" ht="12.95" customHeight="1"/>
    <row r="389" s="22" customFormat="1" ht="12.95" customHeight="1"/>
    <row r="390" s="22" customFormat="1" ht="12.95" customHeight="1"/>
    <row r="391" s="22" customFormat="1" ht="12.95" customHeight="1"/>
    <row r="392" s="22" customFormat="1" ht="12.95" customHeight="1"/>
    <row r="393" s="22" customFormat="1" ht="12.95" customHeight="1"/>
    <row r="394" s="22" customFormat="1" ht="12.95" customHeight="1"/>
    <row r="395" s="22" customFormat="1" ht="12.95" customHeight="1"/>
    <row r="396" s="22" customFormat="1" ht="12.95" customHeight="1"/>
    <row r="397" s="22" customFormat="1" ht="12.95" customHeight="1"/>
    <row r="398" s="22" customFormat="1" ht="12.95" customHeight="1"/>
    <row r="399" s="22" customFormat="1" ht="12.95" customHeight="1"/>
    <row r="400" s="22" customFormat="1" ht="12.95" customHeight="1"/>
    <row r="401" s="22" customFormat="1" ht="12.95" customHeight="1"/>
    <row r="402" s="22" customFormat="1" ht="12.95" customHeight="1"/>
    <row r="403" s="22" customFormat="1" ht="12.95" customHeight="1"/>
    <row r="404" s="22" customFormat="1" ht="12.95" customHeight="1"/>
    <row r="405" s="22" customFormat="1" ht="12.95" customHeight="1"/>
    <row r="406" s="22" customFormat="1" ht="12.95" customHeight="1"/>
    <row r="407" s="22" customFormat="1" ht="12.95" customHeight="1"/>
    <row r="408" s="22" customFormat="1" ht="12.95" customHeight="1"/>
    <row r="409" s="22" customFormat="1" ht="12.95" customHeight="1"/>
    <row r="410" s="22" customFormat="1" ht="12.95" customHeight="1"/>
    <row r="411" s="22" customFormat="1" ht="12.95" customHeight="1"/>
    <row r="412" s="22" customFormat="1" ht="12.95" customHeight="1"/>
    <row r="413" s="22" customFormat="1" ht="12.95" customHeight="1"/>
    <row r="414" s="22" customFormat="1" ht="12.95" customHeight="1"/>
    <row r="415" s="22" customFormat="1" ht="12.95" customHeight="1"/>
    <row r="416" s="22" customFormat="1" ht="12.95" customHeight="1"/>
    <row r="417" s="22" customFormat="1" ht="12.95" customHeight="1"/>
    <row r="418" s="22" customFormat="1" ht="12.95" customHeight="1"/>
    <row r="419" s="22" customFormat="1" ht="12.95" customHeight="1"/>
    <row r="420" s="22" customFormat="1" ht="12.95" customHeight="1"/>
    <row r="421" s="22" customFormat="1" ht="12.95" customHeight="1"/>
    <row r="422" s="22" customFormat="1" ht="12.95" customHeight="1"/>
    <row r="423" s="22" customFormat="1" ht="12.95" customHeight="1"/>
    <row r="424" s="22" customFormat="1" ht="12.95" customHeight="1"/>
    <row r="425" s="22" customFormat="1" ht="12.95" customHeight="1"/>
    <row r="426" s="22" customFormat="1" ht="12.95" customHeight="1"/>
    <row r="427" s="22" customFormat="1" ht="12.95" customHeight="1"/>
    <row r="428" s="22" customFormat="1" ht="12.95" customHeight="1"/>
    <row r="429" s="22" customFormat="1" ht="12.95" customHeight="1"/>
  </sheetData>
  <sheetProtection selectLockedCells="1" selectUnlockedCells="1"/>
  <sortState xmlns:xlrd2="http://schemas.microsoft.com/office/spreadsheetml/2017/richdata2" ref="A21:U49">
    <sortCondition ref="C21:C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opLeftCell="A6" workbookViewId="0">
      <selection activeCell="A26" sqref="A26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9" t="s">
        <v>71</v>
      </c>
      <c r="I1" s="10" t="s">
        <v>72</v>
      </c>
      <c r="J1" s="11" t="s">
        <v>37</v>
      </c>
    </row>
    <row r="2" spans="1:16">
      <c r="I2" s="12" t="s">
        <v>73</v>
      </c>
      <c r="J2" s="13" t="s">
        <v>36</v>
      </c>
    </row>
    <row r="3" spans="1:16">
      <c r="A3" s="14" t="s">
        <v>74</v>
      </c>
      <c r="I3" s="12" t="s">
        <v>75</v>
      </c>
      <c r="J3" s="13" t="s">
        <v>34</v>
      </c>
    </row>
    <row r="4" spans="1:16">
      <c r="I4" s="12" t="s">
        <v>76</v>
      </c>
      <c r="J4" s="13" t="s">
        <v>34</v>
      </c>
    </row>
    <row r="5" spans="1:16">
      <c r="I5" s="15" t="s">
        <v>70</v>
      </c>
      <c r="J5" s="16" t="s">
        <v>35</v>
      </c>
    </row>
    <row r="11" spans="1:16" ht="12.75" customHeight="1">
      <c r="A11" s="6" t="str">
        <f t="shared" ref="A11:A29" si="0">P11</f>
        <v>BAVM 201 </v>
      </c>
      <c r="B11" s="5" t="str">
        <f t="shared" ref="B11:B29" si="1">IF(H11=INT(H11),"I","II")</f>
        <v>I</v>
      </c>
      <c r="C11" s="6">
        <f t="shared" ref="C11:C29" si="2">1*G11</f>
        <v>54192.588499999998</v>
      </c>
      <c r="D11" t="str">
        <f t="shared" ref="D11:D29" si="3">VLOOKUP(F11,I$1:J$5,2,FALSE)</f>
        <v>vis</v>
      </c>
      <c r="E11">
        <f>VLOOKUP(C11,Active!C$21:E$968,3,FALSE)</f>
        <v>6049.1309882409205</v>
      </c>
      <c r="F11" s="5" t="s">
        <v>70</v>
      </c>
      <c r="G11" t="str">
        <f t="shared" ref="G11:G29" si="4">MID(I11,3,LEN(I11)-3)</f>
        <v>54192.5885</v>
      </c>
      <c r="H11" s="6">
        <f t="shared" ref="H11:H29" si="5">1*K11</f>
        <v>6049</v>
      </c>
      <c r="I11" s="17" t="s">
        <v>77</v>
      </c>
      <c r="J11" s="18" t="s">
        <v>78</v>
      </c>
      <c r="K11" s="17">
        <v>6049</v>
      </c>
      <c r="L11" s="17" t="s">
        <v>79</v>
      </c>
      <c r="M11" s="18" t="s">
        <v>80</v>
      </c>
      <c r="N11" s="18" t="s">
        <v>81</v>
      </c>
      <c r="O11" s="19" t="s">
        <v>82</v>
      </c>
      <c r="P11" s="20" t="s">
        <v>83</v>
      </c>
    </row>
    <row r="12" spans="1:16" ht="12.75" customHeight="1">
      <c r="A12" s="6" t="str">
        <f t="shared" si="0"/>
        <v>IBVS 5875 </v>
      </c>
      <c r="B12" s="5" t="str">
        <f t="shared" si="1"/>
        <v>II</v>
      </c>
      <c r="C12" s="6">
        <f t="shared" si="2"/>
        <v>54518.9277</v>
      </c>
      <c r="D12" t="str">
        <f t="shared" si="3"/>
        <v>vis</v>
      </c>
      <c r="E12">
        <f>VLOOKUP(C12,Active!C$21:E$968,3,FALSE)</f>
        <v>6734.63401518302</v>
      </c>
      <c r="F12" s="5" t="s">
        <v>70</v>
      </c>
      <c r="G12" t="str">
        <f t="shared" si="4"/>
        <v>54518.9277</v>
      </c>
      <c r="H12" s="6">
        <f t="shared" si="5"/>
        <v>6734.5</v>
      </c>
      <c r="I12" s="17" t="s">
        <v>84</v>
      </c>
      <c r="J12" s="18" t="s">
        <v>85</v>
      </c>
      <c r="K12" s="17" t="s">
        <v>86</v>
      </c>
      <c r="L12" s="17" t="s">
        <v>87</v>
      </c>
      <c r="M12" s="18" t="s">
        <v>80</v>
      </c>
      <c r="N12" s="18" t="s">
        <v>72</v>
      </c>
      <c r="O12" s="19" t="s">
        <v>88</v>
      </c>
      <c r="P12" s="20" t="s">
        <v>89</v>
      </c>
    </row>
    <row r="13" spans="1:16" ht="12.75" customHeight="1">
      <c r="A13" s="6" t="str">
        <f t="shared" si="0"/>
        <v>BAVM 209 </v>
      </c>
      <c r="B13" s="5" t="str">
        <f t="shared" si="1"/>
        <v>I</v>
      </c>
      <c r="C13" s="6">
        <f t="shared" si="2"/>
        <v>54931.4375</v>
      </c>
      <c r="D13" t="str">
        <f t="shared" si="3"/>
        <v>vis</v>
      </c>
      <c r="E13">
        <f>VLOOKUP(C13,Active!C$21:E$968,3,FALSE)</f>
        <v>7601.1456587222528</v>
      </c>
      <c r="F13" s="5" t="s">
        <v>70</v>
      </c>
      <c r="G13" t="str">
        <f t="shared" si="4"/>
        <v>54931.4375</v>
      </c>
      <c r="H13" s="6">
        <f t="shared" si="5"/>
        <v>7601</v>
      </c>
      <c r="I13" s="17" t="s">
        <v>90</v>
      </c>
      <c r="J13" s="18" t="s">
        <v>91</v>
      </c>
      <c r="K13" s="17" t="s">
        <v>92</v>
      </c>
      <c r="L13" s="17" t="s">
        <v>93</v>
      </c>
      <c r="M13" s="18" t="s">
        <v>80</v>
      </c>
      <c r="N13" s="18" t="s">
        <v>81</v>
      </c>
      <c r="O13" s="19" t="s">
        <v>94</v>
      </c>
      <c r="P13" s="20" t="s">
        <v>95</v>
      </c>
    </row>
    <row r="14" spans="1:16" ht="12.75" customHeight="1">
      <c r="A14" s="6" t="str">
        <f t="shared" si="0"/>
        <v>BAVM 214 </v>
      </c>
      <c r="B14" s="5" t="str">
        <f t="shared" si="1"/>
        <v>II</v>
      </c>
      <c r="C14" s="6">
        <f t="shared" si="2"/>
        <v>55311.575299999997</v>
      </c>
      <c r="D14" t="str">
        <f t="shared" si="3"/>
        <v>vis</v>
      </c>
      <c r="E14">
        <f>VLOOKUP(C14,Active!C$21:E$968,3,FALSE)</f>
        <v>8399.6571846287534</v>
      </c>
      <c r="F14" s="5" t="s">
        <v>70</v>
      </c>
      <c r="G14" t="str">
        <f t="shared" si="4"/>
        <v>55311.5753</v>
      </c>
      <c r="H14" s="6">
        <f t="shared" si="5"/>
        <v>8399.5</v>
      </c>
      <c r="I14" s="17" t="s">
        <v>96</v>
      </c>
      <c r="J14" s="18" t="s">
        <v>97</v>
      </c>
      <c r="K14" s="17" t="s">
        <v>98</v>
      </c>
      <c r="L14" s="17" t="s">
        <v>99</v>
      </c>
      <c r="M14" s="18" t="s">
        <v>80</v>
      </c>
      <c r="N14" s="18" t="s">
        <v>81</v>
      </c>
      <c r="O14" s="19" t="s">
        <v>94</v>
      </c>
      <c r="P14" s="20" t="s">
        <v>100</v>
      </c>
    </row>
    <row r="15" spans="1:16" ht="12.75" customHeight="1">
      <c r="A15" s="6" t="str">
        <f t="shared" si="0"/>
        <v>OEJV 0160 </v>
      </c>
      <c r="B15" s="5" t="str">
        <f t="shared" si="1"/>
        <v>II</v>
      </c>
      <c r="C15" s="6">
        <f t="shared" si="2"/>
        <v>55625.29754</v>
      </c>
      <c r="D15" t="str">
        <f t="shared" si="3"/>
        <v>vis</v>
      </c>
      <c r="E15">
        <f>VLOOKUP(C15,Active!C$21:E$968,3,FALSE)</f>
        <v>9058.6572224392785</v>
      </c>
      <c r="F15" s="5" t="s">
        <v>70</v>
      </c>
      <c r="G15" t="str">
        <f t="shared" si="4"/>
        <v>55625.29754</v>
      </c>
      <c r="H15" s="6">
        <f t="shared" si="5"/>
        <v>9058.5</v>
      </c>
      <c r="I15" s="17" t="s">
        <v>101</v>
      </c>
      <c r="J15" s="18" t="s">
        <v>102</v>
      </c>
      <c r="K15" s="17" t="s">
        <v>103</v>
      </c>
      <c r="L15" s="17" t="s">
        <v>104</v>
      </c>
      <c r="M15" s="18" t="s">
        <v>80</v>
      </c>
      <c r="N15" s="18" t="s">
        <v>72</v>
      </c>
      <c r="O15" s="19" t="s">
        <v>105</v>
      </c>
      <c r="P15" s="20" t="s">
        <v>106</v>
      </c>
    </row>
    <row r="16" spans="1:16" ht="12.75" customHeight="1">
      <c r="A16" s="6" t="str">
        <f t="shared" si="0"/>
        <v>BAVM 231 </v>
      </c>
      <c r="B16" s="5" t="str">
        <f t="shared" si="1"/>
        <v>I</v>
      </c>
      <c r="C16" s="6">
        <f t="shared" si="2"/>
        <v>55644.582300000002</v>
      </c>
      <c r="D16" t="str">
        <f t="shared" si="3"/>
        <v>vis</v>
      </c>
      <c r="E16">
        <f>VLOOKUP(C16,Active!C$21:E$968,3,FALSE)</f>
        <v>9099.1664881169945</v>
      </c>
      <c r="F16" s="5" t="s">
        <v>70</v>
      </c>
      <c r="G16" t="str">
        <f t="shared" si="4"/>
        <v>55644.5823</v>
      </c>
      <c r="H16" s="6">
        <f t="shared" si="5"/>
        <v>9099</v>
      </c>
      <c r="I16" s="17" t="s">
        <v>107</v>
      </c>
      <c r="J16" s="18" t="s">
        <v>108</v>
      </c>
      <c r="K16" s="17" t="s">
        <v>109</v>
      </c>
      <c r="L16" s="17" t="s">
        <v>110</v>
      </c>
      <c r="M16" s="18" t="s">
        <v>80</v>
      </c>
      <c r="N16" s="18" t="s">
        <v>81</v>
      </c>
      <c r="O16" s="19" t="s">
        <v>111</v>
      </c>
      <c r="P16" s="20" t="s">
        <v>112</v>
      </c>
    </row>
    <row r="17" spans="1:16" ht="12.75" customHeight="1">
      <c r="A17" s="6" t="str">
        <f t="shared" si="0"/>
        <v>BAVM 220 </v>
      </c>
      <c r="B17" s="5" t="str">
        <f t="shared" si="1"/>
        <v>II</v>
      </c>
      <c r="C17" s="6">
        <f t="shared" si="2"/>
        <v>55660.528899999998</v>
      </c>
      <c r="D17" t="str">
        <f t="shared" si="3"/>
        <v>vis</v>
      </c>
      <c r="E17">
        <f>VLOOKUP(C17,Active!C$21:E$968,3,FALSE)</f>
        <v>9132.6636670321586</v>
      </c>
      <c r="F17" s="5" t="s">
        <v>70</v>
      </c>
      <c r="G17" t="str">
        <f t="shared" si="4"/>
        <v>55660.5289</v>
      </c>
      <c r="H17" s="6">
        <f t="shared" si="5"/>
        <v>9132.5</v>
      </c>
      <c r="I17" s="17" t="s">
        <v>113</v>
      </c>
      <c r="J17" s="18" t="s">
        <v>114</v>
      </c>
      <c r="K17" s="17" t="s">
        <v>115</v>
      </c>
      <c r="L17" s="17" t="s">
        <v>116</v>
      </c>
      <c r="M17" s="18" t="s">
        <v>80</v>
      </c>
      <c r="N17" s="18" t="s">
        <v>81</v>
      </c>
      <c r="O17" s="19" t="s">
        <v>94</v>
      </c>
      <c r="P17" s="20" t="s">
        <v>117</v>
      </c>
    </row>
    <row r="18" spans="1:16" ht="12.75" customHeight="1">
      <c r="A18" s="6" t="str">
        <f t="shared" si="0"/>
        <v>BAVM 231 </v>
      </c>
      <c r="B18" s="5" t="str">
        <f t="shared" si="1"/>
        <v>II</v>
      </c>
      <c r="C18" s="6">
        <f t="shared" si="2"/>
        <v>55669.575700000001</v>
      </c>
      <c r="D18" t="str">
        <f t="shared" si="3"/>
        <v>vis</v>
      </c>
      <c r="E18">
        <f>VLOOKUP(C18,Active!C$21:E$968,3,FALSE)</f>
        <v>9151.667233824448</v>
      </c>
      <c r="F18" s="5" t="s">
        <v>70</v>
      </c>
      <c r="G18" t="str">
        <f t="shared" si="4"/>
        <v>55669.5757</v>
      </c>
      <c r="H18" s="6">
        <f t="shared" si="5"/>
        <v>9151.5</v>
      </c>
      <c r="I18" s="17" t="s">
        <v>118</v>
      </c>
      <c r="J18" s="18" t="s">
        <v>119</v>
      </c>
      <c r="K18" s="17" t="s">
        <v>120</v>
      </c>
      <c r="L18" s="17" t="s">
        <v>121</v>
      </c>
      <c r="M18" s="18" t="s">
        <v>80</v>
      </c>
      <c r="N18" s="18" t="s">
        <v>81</v>
      </c>
      <c r="O18" s="19" t="s">
        <v>111</v>
      </c>
      <c r="P18" s="20" t="s">
        <v>112</v>
      </c>
    </row>
    <row r="19" spans="1:16" ht="12.75" customHeight="1">
      <c r="A19" s="6" t="str">
        <f t="shared" si="0"/>
        <v>OEJV 0160 </v>
      </c>
      <c r="B19" s="5" t="str">
        <f t="shared" si="1"/>
        <v>II</v>
      </c>
      <c r="C19" s="6">
        <f t="shared" si="2"/>
        <v>55877.610110000001</v>
      </c>
      <c r="D19" t="str">
        <f t="shared" si="3"/>
        <v>vis</v>
      </c>
      <c r="E19">
        <f>VLOOKUP(C19,Active!C$21:E$968,3,FALSE)</f>
        <v>9588.661066508701</v>
      </c>
      <c r="F19" s="5" t="s">
        <v>70</v>
      </c>
      <c r="G19" t="str">
        <f t="shared" si="4"/>
        <v>55877.61011</v>
      </c>
      <c r="H19" s="6">
        <f t="shared" si="5"/>
        <v>9588.5</v>
      </c>
      <c r="I19" s="17" t="s">
        <v>122</v>
      </c>
      <c r="J19" s="18" t="s">
        <v>123</v>
      </c>
      <c r="K19" s="17" t="s">
        <v>124</v>
      </c>
      <c r="L19" s="17" t="s">
        <v>125</v>
      </c>
      <c r="M19" s="18" t="s">
        <v>80</v>
      </c>
      <c r="N19" s="18" t="s">
        <v>72</v>
      </c>
      <c r="O19" s="19" t="s">
        <v>126</v>
      </c>
      <c r="P19" s="20" t="s">
        <v>106</v>
      </c>
    </row>
    <row r="20" spans="1:16" ht="12.75" customHeight="1">
      <c r="A20" s="6" t="str">
        <f t="shared" si="0"/>
        <v>IBVS 6050 </v>
      </c>
      <c r="B20" s="5" t="str">
        <f t="shared" si="1"/>
        <v>I</v>
      </c>
      <c r="C20" s="6">
        <f t="shared" si="2"/>
        <v>55937.835700000003</v>
      </c>
      <c r="D20" t="str">
        <f t="shared" si="3"/>
        <v>vis</v>
      </c>
      <c r="E20">
        <f>VLOOKUP(C20,Active!C$21:E$968,3,FALSE)</f>
        <v>9715.1700002940852</v>
      </c>
      <c r="F20" s="5" t="s">
        <v>70</v>
      </c>
      <c r="G20" t="str">
        <f t="shared" si="4"/>
        <v>55937.8357</v>
      </c>
      <c r="H20" s="6">
        <f t="shared" si="5"/>
        <v>9715</v>
      </c>
      <c r="I20" s="17" t="s">
        <v>127</v>
      </c>
      <c r="J20" s="18" t="s">
        <v>128</v>
      </c>
      <c r="K20" s="17" t="s">
        <v>129</v>
      </c>
      <c r="L20" s="17" t="s">
        <v>130</v>
      </c>
      <c r="M20" s="18" t="s">
        <v>80</v>
      </c>
      <c r="N20" s="18" t="s">
        <v>72</v>
      </c>
      <c r="O20" s="19" t="s">
        <v>88</v>
      </c>
      <c r="P20" s="20" t="s">
        <v>131</v>
      </c>
    </row>
    <row r="21" spans="1:16" ht="12.75" customHeight="1">
      <c r="A21" s="6" t="str">
        <f t="shared" si="0"/>
        <v>OEJV 0160 </v>
      </c>
      <c r="B21" s="5" t="str">
        <f t="shared" si="1"/>
        <v>I</v>
      </c>
      <c r="C21" s="6">
        <f t="shared" si="2"/>
        <v>56003.532220000001</v>
      </c>
      <c r="D21" t="str">
        <f t="shared" si="3"/>
        <v>vis</v>
      </c>
      <c r="E21">
        <f>VLOOKUP(C21,Active!C$21:E$968,3,FALSE)</f>
        <v>9853.171084195621</v>
      </c>
      <c r="F21" s="5" t="s">
        <v>70</v>
      </c>
      <c r="G21" t="str">
        <f t="shared" si="4"/>
        <v>56003.53222</v>
      </c>
      <c r="H21" s="6">
        <f t="shared" si="5"/>
        <v>9853</v>
      </c>
      <c r="I21" s="17" t="s">
        <v>132</v>
      </c>
      <c r="J21" s="18" t="s">
        <v>133</v>
      </c>
      <c r="K21" s="17" t="s">
        <v>134</v>
      </c>
      <c r="L21" s="17" t="s">
        <v>135</v>
      </c>
      <c r="M21" s="18" t="s">
        <v>80</v>
      </c>
      <c r="N21" s="18" t="s">
        <v>70</v>
      </c>
      <c r="O21" s="19" t="s">
        <v>136</v>
      </c>
      <c r="P21" s="20" t="s">
        <v>106</v>
      </c>
    </row>
    <row r="22" spans="1:16" ht="12.75" customHeight="1">
      <c r="A22" s="6" t="str">
        <f t="shared" si="0"/>
        <v>OEJV 0160 </v>
      </c>
      <c r="B22" s="5" t="str">
        <f t="shared" si="1"/>
        <v>I</v>
      </c>
      <c r="C22" s="6">
        <f t="shared" si="2"/>
        <v>56003.532520000001</v>
      </c>
      <c r="D22" t="str">
        <f t="shared" si="3"/>
        <v>vis</v>
      </c>
      <c r="E22">
        <f>VLOOKUP(C22,Active!C$21:E$968,3,FALSE)</f>
        <v>9853.1717143709357</v>
      </c>
      <c r="F22" s="5" t="s">
        <v>70</v>
      </c>
      <c r="G22" t="str">
        <f t="shared" si="4"/>
        <v>56003.53252</v>
      </c>
      <c r="H22" s="6">
        <f t="shared" si="5"/>
        <v>9853</v>
      </c>
      <c r="I22" s="17" t="s">
        <v>137</v>
      </c>
      <c r="J22" s="18" t="s">
        <v>133</v>
      </c>
      <c r="K22" s="17" t="s">
        <v>134</v>
      </c>
      <c r="L22" s="17" t="s">
        <v>138</v>
      </c>
      <c r="M22" s="18" t="s">
        <v>80</v>
      </c>
      <c r="N22" s="18" t="s">
        <v>139</v>
      </c>
      <c r="O22" s="19" t="s">
        <v>136</v>
      </c>
      <c r="P22" s="20" t="s">
        <v>106</v>
      </c>
    </row>
    <row r="23" spans="1:16" ht="12.75" customHeight="1">
      <c r="A23" s="6" t="str">
        <f t="shared" si="0"/>
        <v>BAVM 232 </v>
      </c>
      <c r="B23" s="5" t="str">
        <f t="shared" si="1"/>
        <v>I</v>
      </c>
      <c r="C23" s="6">
        <f t="shared" si="2"/>
        <v>56011.626300000004</v>
      </c>
      <c r="D23" t="str">
        <f t="shared" si="3"/>
        <v>vis</v>
      </c>
      <c r="E23">
        <f>VLOOKUP(C23,Active!C$21:E$968,3,FALSE)</f>
        <v>9870.1733822349415</v>
      </c>
      <c r="F23" s="5" t="s">
        <v>70</v>
      </c>
      <c r="G23" t="str">
        <f t="shared" si="4"/>
        <v>56011.6263</v>
      </c>
      <c r="H23" s="6">
        <f t="shared" si="5"/>
        <v>9870</v>
      </c>
      <c r="I23" s="17" t="s">
        <v>140</v>
      </c>
      <c r="J23" s="18" t="s">
        <v>141</v>
      </c>
      <c r="K23" s="17" t="s">
        <v>142</v>
      </c>
      <c r="L23" s="17" t="s">
        <v>143</v>
      </c>
      <c r="M23" s="18" t="s">
        <v>80</v>
      </c>
      <c r="N23" s="18" t="s">
        <v>81</v>
      </c>
      <c r="O23" s="19" t="s">
        <v>144</v>
      </c>
      <c r="P23" s="20" t="s">
        <v>145</v>
      </c>
    </row>
    <row r="24" spans="1:16" ht="12.75" customHeight="1">
      <c r="A24" s="6" t="str">
        <f t="shared" si="0"/>
        <v>BAVM 238 </v>
      </c>
      <c r="B24" s="5" t="str">
        <f t="shared" si="1"/>
        <v>I</v>
      </c>
      <c r="C24" s="6">
        <f t="shared" si="2"/>
        <v>56730.483</v>
      </c>
      <c r="D24" t="str">
        <f t="shared" si="3"/>
        <v>vis</v>
      </c>
      <c r="E24">
        <f>VLOOKUP(C24,Active!C$21:E$968,3,FALSE)</f>
        <v>11380.192539564503</v>
      </c>
      <c r="F24" s="5" t="s">
        <v>70</v>
      </c>
      <c r="G24" t="str">
        <f t="shared" si="4"/>
        <v>56730.4830</v>
      </c>
      <c r="H24" s="6">
        <f t="shared" si="5"/>
        <v>11380</v>
      </c>
      <c r="I24" s="17" t="s">
        <v>146</v>
      </c>
      <c r="J24" s="18" t="s">
        <v>147</v>
      </c>
      <c r="K24" s="17" t="s">
        <v>148</v>
      </c>
      <c r="L24" s="17" t="s">
        <v>149</v>
      </c>
      <c r="M24" s="18" t="s">
        <v>80</v>
      </c>
      <c r="N24" s="18" t="s">
        <v>81</v>
      </c>
      <c r="O24" s="19" t="s">
        <v>94</v>
      </c>
      <c r="P24" s="20" t="s">
        <v>150</v>
      </c>
    </row>
    <row r="25" spans="1:16" ht="12.75" customHeight="1">
      <c r="A25" s="6" t="str">
        <f t="shared" si="0"/>
        <v>BAVM 238 </v>
      </c>
      <c r="B25" s="5" t="str">
        <f t="shared" si="1"/>
        <v>II</v>
      </c>
      <c r="C25" s="6">
        <f t="shared" si="2"/>
        <v>56737.387999999999</v>
      </c>
      <c r="D25" t="str">
        <f t="shared" si="3"/>
        <v>vis</v>
      </c>
      <c r="E25">
        <f>VLOOKUP(C25,Active!C$21:E$968,3,FALSE)</f>
        <v>11394.697074726182</v>
      </c>
      <c r="F25" s="5" t="s">
        <v>70</v>
      </c>
      <c r="G25" t="str">
        <f t="shared" si="4"/>
        <v>56737.3880</v>
      </c>
      <c r="H25" s="6">
        <f t="shared" si="5"/>
        <v>11394.5</v>
      </c>
      <c r="I25" s="17" t="s">
        <v>151</v>
      </c>
      <c r="J25" s="18" t="s">
        <v>152</v>
      </c>
      <c r="K25" s="17" t="s">
        <v>153</v>
      </c>
      <c r="L25" s="17" t="s">
        <v>154</v>
      </c>
      <c r="M25" s="18" t="s">
        <v>80</v>
      </c>
      <c r="N25" s="18" t="s">
        <v>81</v>
      </c>
      <c r="O25" s="19" t="s">
        <v>94</v>
      </c>
      <c r="P25" s="20" t="s">
        <v>150</v>
      </c>
    </row>
    <row r="26" spans="1:16" ht="12.75" customHeight="1">
      <c r="A26" s="6" t="str">
        <f t="shared" si="0"/>
        <v>OEJV 0094 </v>
      </c>
      <c r="B26" s="5" t="str">
        <f t="shared" si="1"/>
        <v>I</v>
      </c>
      <c r="C26" s="6">
        <f t="shared" si="2"/>
        <v>54499.647599999997</v>
      </c>
      <c r="D26" t="str">
        <f t="shared" si="3"/>
        <v>vis</v>
      </c>
      <c r="E26" t="e">
        <f>VLOOKUP(C26,Active!C$21:E$968,3,FALSE)</f>
        <v>#N/A</v>
      </c>
      <c r="F26" s="5" t="s">
        <v>70</v>
      </c>
      <c r="G26" t="str">
        <f t="shared" si="4"/>
        <v>54499.6476</v>
      </c>
      <c r="H26" s="6">
        <f t="shared" si="5"/>
        <v>6694</v>
      </c>
      <c r="I26" s="17" t="s">
        <v>155</v>
      </c>
      <c r="J26" s="18" t="s">
        <v>156</v>
      </c>
      <c r="K26" s="17" t="s">
        <v>157</v>
      </c>
      <c r="L26" s="17" t="s">
        <v>158</v>
      </c>
      <c r="M26" s="18" t="s">
        <v>80</v>
      </c>
      <c r="N26" s="18" t="s">
        <v>139</v>
      </c>
      <c r="O26" s="19" t="s">
        <v>159</v>
      </c>
      <c r="P26" s="20" t="s">
        <v>160</v>
      </c>
    </row>
    <row r="27" spans="1:16" ht="12.75" customHeight="1">
      <c r="A27" s="6" t="str">
        <f t="shared" si="0"/>
        <v>OEJV 0107 </v>
      </c>
      <c r="B27" s="5" t="str">
        <f t="shared" si="1"/>
        <v>I</v>
      </c>
      <c r="C27" s="6">
        <f t="shared" si="2"/>
        <v>54912.394</v>
      </c>
      <c r="D27" t="str">
        <f t="shared" si="3"/>
        <v>vis</v>
      </c>
      <c r="E27" t="e">
        <f>VLOOKUP(C27,Active!C$21:E$968,3,FALSE)</f>
        <v>#N/A</v>
      </c>
      <c r="F27" s="5" t="s">
        <v>70</v>
      </c>
      <c r="G27" t="str">
        <f t="shared" si="4"/>
        <v>54912.3940</v>
      </c>
      <c r="H27" s="6">
        <f t="shared" si="5"/>
        <v>7561</v>
      </c>
      <c r="I27" s="17" t="s">
        <v>161</v>
      </c>
      <c r="J27" s="18" t="s">
        <v>162</v>
      </c>
      <c r="K27" s="17" t="s">
        <v>163</v>
      </c>
      <c r="L27" s="17" t="s">
        <v>164</v>
      </c>
      <c r="M27" s="18" t="s">
        <v>80</v>
      </c>
      <c r="N27" s="18" t="s">
        <v>72</v>
      </c>
      <c r="O27" s="19" t="s">
        <v>126</v>
      </c>
      <c r="P27" s="20" t="s">
        <v>165</v>
      </c>
    </row>
    <row r="28" spans="1:16" ht="12.75" customHeight="1">
      <c r="A28" s="6" t="str">
        <f t="shared" si="0"/>
        <v>OEJV 0137 </v>
      </c>
      <c r="B28" s="5" t="str">
        <f t="shared" si="1"/>
        <v>I</v>
      </c>
      <c r="C28" s="6">
        <f t="shared" si="2"/>
        <v>55259.4447</v>
      </c>
      <c r="D28" t="str">
        <f t="shared" si="3"/>
        <v>vis</v>
      </c>
      <c r="E28" t="e">
        <f>VLOOKUP(C28,Active!C$21:E$968,3,FALSE)</f>
        <v>#N/A</v>
      </c>
      <c r="F28" s="5" t="s">
        <v>70</v>
      </c>
      <c r="G28" t="str">
        <f t="shared" si="4"/>
        <v>55259.4447</v>
      </c>
      <c r="H28" s="6">
        <f t="shared" si="5"/>
        <v>8290</v>
      </c>
      <c r="I28" s="17" t="s">
        <v>166</v>
      </c>
      <c r="J28" s="18" t="s">
        <v>167</v>
      </c>
      <c r="K28" s="17" t="s">
        <v>168</v>
      </c>
      <c r="L28" s="17" t="s">
        <v>169</v>
      </c>
      <c r="M28" s="18" t="s">
        <v>80</v>
      </c>
      <c r="N28" s="18" t="s">
        <v>139</v>
      </c>
      <c r="O28" s="19" t="s">
        <v>170</v>
      </c>
      <c r="P28" s="20" t="s">
        <v>171</v>
      </c>
    </row>
    <row r="29" spans="1:16" ht="12.75" customHeight="1">
      <c r="A29" s="6" t="str">
        <f t="shared" si="0"/>
        <v>OEJV 0137 </v>
      </c>
      <c r="B29" s="5" t="str">
        <f t="shared" si="1"/>
        <v>I</v>
      </c>
      <c r="C29" s="6">
        <f t="shared" si="2"/>
        <v>55289.4355</v>
      </c>
      <c r="D29" t="str">
        <f t="shared" si="3"/>
        <v>vis</v>
      </c>
      <c r="E29" t="e">
        <f>VLOOKUP(C29,Active!C$21:E$968,3,FALSE)</f>
        <v>#N/A</v>
      </c>
      <c r="F29" s="5" t="s">
        <v>70</v>
      </c>
      <c r="G29" t="str">
        <f t="shared" si="4"/>
        <v>55289.4355</v>
      </c>
      <c r="H29" s="6">
        <f t="shared" si="5"/>
        <v>8353</v>
      </c>
      <c r="I29" s="17" t="s">
        <v>172</v>
      </c>
      <c r="J29" s="18" t="s">
        <v>173</v>
      </c>
      <c r="K29" s="17" t="s">
        <v>174</v>
      </c>
      <c r="L29" s="17" t="s">
        <v>175</v>
      </c>
      <c r="M29" s="18" t="s">
        <v>80</v>
      </c>
      <c r="N29" s="18" t="s">
        <v>72</v>
      </c>
      <c r="O29" s="19" t="s">
        <v>126</v>
      </c>
      <c r="P29" s="20" t="s">
        <v>171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2023-01-25T05:13:01Z</dcterms:created>
  <dcterms:modified xsi:type="dcterms:W3CDTF">2024-01-03T04:12:06Z</dcterms:modified>
</cp:coreProperties>
</file>