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6BCAD17-A090-4256-86EC-71FD5F78DDE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9" i="1" l="1"/>
  <c r="D9" i="1"/>
  <c r="F16" i="1"/>
  <c r="C17" i="1"/>
  <c r="E21" i="1"/>
  <c r="F21" i="1"/>
  <c r="G21" i="1"/>
  <c r="I21" i="1" s="1"/>
  <c r="Q21" i="1"/>
  <c r="E22" i="1"/>
  <c r="F22" i="1" s="1"/>
  <c r="G22" i="1" s="1"/>
  <c r="I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C12" i="1"/>
  <c r="C11" i="1"/>
  <c r="O22" i="1" l="1"/>
  <c r="O23" i="1"/>
  <c r="O24" i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<sst xmlns="http://schemas.openxmlformats.org/spreadsheetml/2006/main" count="58" uniqueCount="52">
  <si>
    <t>AZ Vel</t>
  </si>
  <si>
    <t>G7673-0186</t>
  </si>
  <si>
    <t>EA</t>
  </si>
  <si>
    <t>pr_0</t>
  </si>
  <si>
    <t>~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</si>
  <si>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</si>
  <si>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</si>
  <si>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</si>
  <si>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</si>
  <si>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</si>
  <si>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</si>
  <si>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Kreiner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</si>
  <si>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</si>
  <si>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</si>
  <si>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</si>
  <si>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</si>
  <si>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</si>
  <si>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</si>
  <si>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</si>
  <si>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</si>
  <si>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</si>
  <si>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</si>
  <si>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</si>
  <si>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</si>
  <si>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</si>
  <si>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</si>
  <si>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</si>
  <si>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</si>
  <si>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</si>
  <si>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</si>
  <si>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</si>
  <si>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</si>
  <si>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</si>
  <si>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</si>
  <si>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</si>
  <si>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</si>
  <si>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</si>
  <si>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</si>
  <si>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</si>
  <si>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</si>
  <si>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</si>
  <si>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</si>
  <si>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</si>
  <si>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</si>
  <si>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</si>
  <si>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</si>
  <si>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</si>
  <si>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GCVS</t>
  </si>
  <si>
    <t>OEJV 0179</t>
  </si>
  <si>
    <t>I</t>
  </si>
  <si>
    <t>OEJV 0211</t>
  </si>
  <si>
    <t>AZ Vel / GSC 7673-0186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</si>
</sst>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</cellStyleXfs>
  <cellXfs count="4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2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0" fillId="0" borderId="5" xfId="0" applyFont="1" applyBorder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10" fillId="0" borderId="0" xfId="0" applyNumberFormat="1" applyFont="1">
      <alignment vertical="top"/>
    </xf>
    <xf numFmtId="0" fontId="6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168" fontId="0" fillId="0" borderId="0" xfId="0" applyNumberFormat="1" applyAlignment="1"/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Vel - O-C Diagr.</a:t>
            </a:r>
          </a:p>
        </c:rich>
      </c:tx>
      <c:layout>
        <c:manualLayout>
          <c:xMode val="edge"/>
          <c:yMode val="edge"/>
          <c:x val="0.3793798522932381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361367666879478"/>
          <c:w val="0.81231350341577424"/>
          <c:h val="0.6476492240271768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Active!$H$21:$H$24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91-4CC5-8070-4705944EFE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Active!$I$21:$I$24</c:f>
              <c:numCache>
                <c:formatCode>General</c:formatCode>
                <c:ptCount val="4"/>
                <c:pt idx="0">
                  <c:v>3.2915999945544172E-3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91-4CC5-8070-4705944EFE2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Active!$J$21:$J$24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91-4CC5-8070-4705944EFE2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Active!$K$21:$K$24</c:f>
              <c:numCache>
                <c:formatCode>General</c:formatCode>
                <c:ptCount val="4"/>
                <c:pt idx="2">
                  <c:v>0.1762280999973882</c:v>
                </c:pt>
                <c:pt idx="3">
                  <c:v>1.2938999789184891E-2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91-4CC5-8070-4705944EFE2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Active!$L$21:$L$24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91-4CC5-8070-4705944EFE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Active!$M$21:$M$24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91-4CC5-8070-4705944EFE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Active!$N$21:$N$24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91-4CC5-8070-4705944EFE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Active!$O$21:$O$24</c:f>
              <c:numCache>
                <c:formatCode>General</c:formatCode>
                <c:ptCount val="4"/>
                <c:pt idx="0">
                  <c:v>-3.6736989894005576E-3</c:v>
                </c:pt>
                <c:pt idx="1">
                  <c:v>5.7808051861368059E-2</c:v>
                </c:pt>
                <c:pt idx="2">
                  <c:v>6.8259442200928944E-2</c:v>
                </c:pt>
                <c:pt idx="3">
                  <c:v>7.0064904708231082E-2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91-4CC5-8070-4705944EFE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-33934</c:v>
                </c:pt>
                <c:pt idx="1">
                  <c:v>0</c:v>
                </c:pt>
                <c:pt idx="2">
                  <c:v>5768.5</c:v>
                </c:pt>
                <c:pt idx="3">
                  <c:v>6765</c:v>
                </c:pt>
              </c:numCache>
            </c:numRef>
          </c:xVal>
          <c:yVal>
            <c:numRef>
              <c:f>Active!$U$21:$U$24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91-4CC5-8070-4705944EF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39264"/>
        <c:axId val="1"/>
      </c:scatterChart>
      <c:valAx>
        <c:axId val="68233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39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6880029635935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F0E151-F8F0-CC86-5835-A30ADA095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51</v>
      </c>
      <c r="F1" s="3" t="s">
        <v>0</v>
      </c>
      <c r="G1" s="4">
        <v>0</v>
      </c>
      <c r="H1" s="5"/>
      <c r="I1" s="6" t="s">
        <v>1</v>
      </c>
      <c r="J1" s="7" t="s">
        <v>0</v>
      </c>
      <c r="K1" s="8">
        <v>8.2251899999999996</v>
      </c>
      <c r="L1" s="9">
        <v>-44.2545</v>
      </c>
      <c r="M1" s="10">
        <v>52500.571000000004</v>
      </c>
      <c r="N1" s="10">
        <v>0.77577739999999995</v>
      </c>
      <c r="O1" s="11" t="s">
        <v>2</v>
      </c>
      <c r="P1" s="12">
        <v>12.7</v>
      </c>
      <c r="Q1" s="12">
        <v>13.6</v>
      </c>
      <c r="R1" s="13" t="s">
        <v>3</v>
      </c>
      <c r="S1" s="14" t="s">
        <v>4</v>
      </c>
    </row>
    <row r="2" spans="1:19" x14ac:dyDescent="0.2">
      <c r="A2" s="1" t="s">
        <v>5</v>
      </c>
      <c r="B2" s="1" t="s">
        <v>2</v>
      </c>
      <c r="C2" s="15"/>
      <c r="D2" s="16"/>
    </row>
    <row r="4" spans="1:19" x14ac:dyDescent="0.2">
      <c r="A4" s="17" t="s">
        <v>6</v>
      </c>
      <c r="C4" s="18">
        <v>26175.344000000001</v>
      </c>
      <c r="D4" s="19">
        <v>0.77577764999999999</v>
      </c>
    </row>
    <row r="5" spans="1:19" x14ac:dyDescent="0.2">
      <c r="A5" s="20" t="s">
        <v>7</v>
      </c>
      <c r="B5"/>
      <c r="C5" s="21">
        <v>-9.5</v>
      </c>
      <c r="D5" t="s">
        <v>8</v>
      </c>
      <c r="E5"/>
    </row>
    <row r="6" spans="1:19" x14ac:dyDescent="0.2">
      <c r="A6" s="17" t="s">
        <v>9</v>
      </c>
    </row>
    <row r="7" spans="1:19" x14ac:dyDescent="0.2">
      <c r="A7" s="1" t="s">
        <v>10</v>
      </c>
      <c r="C7" s="22">
        <v>52500.571000000004</v>
      </c>
      <c r="D7" s="11" t="s">
        <v>11</v>
      </c>
    </row>
    <row r="8" spans="1:19" x14ac:dyDescent="0.2">
      <c r="A8" s="1" t="s">
        <v>12</v>
      </c>
      <c r="C8" s="22">
        <v>0.77577739999999995</v>
      </c>
      <c r="D8" s="23" t="s">
        <v>11</v>
      </c>
    </row>
    <row r="9" spans="1:19" x14ac:dyDescent="0.2">
      <c r="A9" s="24" t="s">
        <v>13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x14ac:dyDescent="0.2">
      <c r="A10"/>
      <c r="B10"/>
      <c r="C10" s="28" t="s">
        <v>14</v>
      </c>
      <c r="D10" s="28" t="s">
        <v>15</v>
      </c>
      <c r="E10"/>
    </row>
    <row r="11" spans="1:19" x14ac:dyDescent="0.2">
      <c r="A11" t="s">
        <v>16</v>
      </c>
      <c r="B11"/>
      <c r="C11" s="29">
        <f ca="1">INTERCEPT(INDIRECT($D$9):G992,INDIRECT($C$9):F992)</f>
        <v>5.7808051861368059E-2</v>
      </c>
      <c r="D11" s="16"/>
      <c r="E11"/>
    </row>
    <row r="12" spans="1:19" x14ac:dyDescent="0.2">
      <c r="A12" t="s">
        <v>17</v>
      </c>
      <c r="B12"/>
      <c r="C12" s="29">
        <f ca="1">SLOPE(INDIRECT($D$9):G992,INDIRECT($C$9):F992)</f>
        <v>1.811803820674504E-6</v>
      </c>
      <c r="D12" s="16"/>
      <c r="E12"/>
    </row>
    <row r="13" spans="1:19" x14ac:dyDescent="0.2">
      <c r="A13" t="s">
        <v>18</v>
      </c>
      <c r="B13"/>
      <c r="C13" s="16" t="s">
        <v>19</v>
      </c>
    </row>
    <row r="14" spans="1:19" x14ac:dyDescent="0.2">
      <c r="A14"/>
      <c r="B14"/>
      <c r="C14"/>
    </row>
    <row r="15" spans="1:19" x14ac:dyDescent="0.2">
      <c r="A15" s="30" t="s">
        <v>20</v>
      </c>
      <c r="B15"/>
      <c r="C15" s="31">
        <f ca="1">(C7+C11)+(C8+C12)*INT(MAX(F21:F3533))</f>
        <v>57748.77517590471</v>
      </c>
      <c r="E15" s="32" t="s">
        <v>21</v>
      </c>
      <c r="F15" s="33">
        <v>1</v>
      </c>
    </row>
    <row r="16" spans="1:19" x14ac:dyDescent="0.2">
      <c r="A16" s="30" t="s">
        <v>22</v>
      </c>
      <c r="B16"/>
      <c r="C16" s="31">
        <f ca="1">+C8+C12</f>
        <v>0.77577921180382059</v>
      </c>
      <c r="E16" s="32" t="s">
        <v>23</v>
      </c>
      <c r="F16" s="34">
        <f ca="1">NOW()+15018.5+$C$5/24</f>
        <v>60326.74047488426</v>
      </c>
    </row>
    <row r="17" spans="1:21" x14ac:dyDescent="0.2">
      <c r="A17" s="32" t="s">
        <v>24</v>
      </c>
      <c r="B17"/>
      <c r="C17">
        <f>COUNT(C21:C2191)</f>
        <v>4</v>
      </c>
      <c r="E17" s="32" t="s">
        <v>25</v>
      </c>
      <c r="F17" s="29">
        <f ca="1">ROUND(2*(F16-$C$7)/$C$8,0)/2+F15</f>
        <v>10089</v>
      </c>
    </row>
    <row r="18" spans="1:21" x14ac:dyDescent="0.2">
      <c r="A18" s="30" t="s">
        <v>26</v>
      </c>
      <c r="B18"/>
      <c r="C18" s="35">
        <f ca="1">+C15</f>
        <v>57748.77517590471</v>
      </c>
      <c r="D18" s="36">
        <f ca="1">+C16</f>
        <v>0.77577921180382059</v>
      </c>
      <c r="E18" s="32" t="s">
        <v>27</v>
      </c>
      <c r="F18" s="27">
        <f ca="1">ROUND(2*(F16-$C$15)/$C$16,0)/2+F15</f>
        <v>3324</v>
      </c>
    </row>
    <row r="19" spans="1:21" x14ac:dyDescent="0.2">
      <c r="E19" s="32" t="s">
        <v>28</v>
      </c>
      <c r="F19" s="37">
        <f ca="1">+$C$15+$C$16*F18-15018.5-$C$5/24</f>
        <v>45309.361109273945</v>
      </c>
    </row>
    <row r="20" spans="1:21" x14ac:dyDescent="0.2">
      <c r="A20" s="28" t="s">
        <v>29</v>
      </c>
      <c r="B20" s="28" t="s">
        <v>30</v>
      </c>
      <c r="C20" s="28" t="s">
        <v>31</v>
      </c>
      <c r="D20" s="28" t="s">
        <v>32</v>
      </c>
      <c r="E20" s="28" t="s">
        <v>33</v>
      </c>
      <c r="F20" s="28" t="s">
        <v>34</v>
      </c>
      <c r="G20" s="28" t="s">
        <v>35</v>
      </c>
      <c r="H20" s="38" t="s">
        <v>36</v>
      </c>
      <c r="I20" s="38" t="s">
        <v>37</v>
      </c>
      <c r="J20" s="38" t="s">
        <v>38</v>
      </c>
      <c r="K20" s="38" t="s">
        <v>39</v>
      </c>
      <c r="L20" s="38" t="s">
        <v>40</v>
      </c>
      <c r="M20" s="38" t="s">
        <v>41</v>
      </c>
      <c r="N20" s="38" t="s">
        <v>42</v>
      </c>
      <c r="O20" s="38" t="s">
        <v>43</v>
      </c>
      <c r="P20" s="38" t="s">
        <v>44</v>
      </c>
      <c r="Q20" s="28" t="s">
        <v>45</v>
      </c>
      <c r="U20" s="39" t="s">
        <v>46</v>
      </c>
    </row>
    <row r="21" spans="1:21" x14ac:dyDescent="0.2">
      <c r="A21" s="1" t="s">
        <v>47</v>
      </c>
      <c r="C21" s="22">
        <v>26175.344000000001</v>
      </c>
      <c r="D21" s="22"/>
      <c r="E21" s="1">
        <f>+(C21-C$7)/C$8</f>
        <v>-33933.995757030309</v>
      </c>
      <c r="F21" s="1">
        <f>ROUND(2*E21,0)/2</f>
        <v>-33934</v>
      </c>
      <c r="G21" s="1">
        <f>+C21-(C$7+F21*C$8)</f>
        <v>3.2915999945544172E-3</v>
      </c>
      <c r="I21" s="1">
        <f>+G21</f>
        <v>3.2915999945544172E-3</v>
      </c>
      <c r="O21" s="1">
        <f ca="1">+C$11+C$12*$F21</f>
        <v>-3.6736989894005576E-3</v>
      </c>
      <c r="Q21" s="43">
        <f>+C21-15018.5</f>
        <v>11156.844000000001</v>
      </c>
    </row>
    <row r="22" spans="1:21" x14ac:dyDescent="0.2">
      <c r="A22" s="1" t="s">
        <v>11</v>
      </c>
      <c r="C22" s="22">
        <v>52500.571000000004</v>
      </c>
      <c r="D22" s="22" t="s">
        <v>19</v>
      </c>
      <c r="E22" s="1">
        <f>+(C22-C$7)/C$8</f>
        <v>0</v>
      </c>
      <c r="F22" s="1">
        <f>ROUND(2*E22,0)/2</f>
        <v>0</v>
      </c>
      <c r="G22" s="1">
        <f>+C22-(C$7+F22*C$8)</f>
        <v>0</v>
      </c>
      <c r="I22" s="1">
        <f>+G22</f>
        <v>0</v>
      </c>
      <c r="O22" s="1">
        <f ca="1">+C$11+C$12*$F22</f>
        <v>5.7808051861368059E-2</v>
      </c>
      <c r="Q22" s="43">
        <f>+C22-15018.5</f>
        <v>37482.071000000004</v>
      </c>
    </row>
    <row r="23" spans="1:21" x14ac:dyDescent="0.2">
      <c r="A23" s="40" t="s">
        <v>48</v>
      </c>
      <c r="B23" s="41" t="s">
        <v>49</v>
      </c>
      <c r="C23" s="42">
        <v>56975.819159999999</v>
      </c>
      <c r="D23" s="42">
        <v>1E-4</v>
      </c>
      <c r="E23" s="1">
        <f>+(C23-C$7)/C$8</f>
        <v>5768.7271632300653</v>
      </c>
      <c r="F23" s="1">
        <f>ROUND(2*E23,0)/2</f>
        <v>5768.5</v>
      </c>
      <c r="G23" s="1">
        <f>+C23-(C$7+F23*C$8)</f>
        <v>0.1762280999973882</v>
      </c>
      <c r="K23" s="1">
        <f>+G23</f>
        <v>0.1762280999973882</v>
      </c>
      <c r="O23" s="1">
        <f ca="1">+C$11+C$12*$F23</f>
        <v>6.8259442200928944E-2</v>
      </c>
      <c r="Q23" s="43">
        <f>+C23-15018.5</f>
        <v>41957.319159999999</v>
      </c>
    </row>
    <row r="24" spans="1:21" x14ac:dyDescent="0.2">
      <c r="A24" s="40" t="s">
        <v>50</v>
      </c>
      <c r="B24" s="41" t="s">
        <v>49</v>
      </c>
      <c r="C24" s="42">
        <v>57748.718049999792</v>
      </c>
      <c r="D24" s="42">
        <v>1E-4</v>
      </c>
      <c r="E24" s="1">
        <f>+(C24-C$7)/C$8</f>
        <v>6765.0166787531953</v>
      </c>
      <c r="F24" s="1">
        <f>ROUND(2*E24,0)/2</f>
        <v>6765</v>
      </c>
      <c r="G24" s="1">
        <f>+C24-(C$7+F24*C$8)</f>
        <v>1.2938999789184891E-2</v>
      </c>
      <c r="K24" s="1">
        <f>+G24</f>
        <v>1.2938999789184891E-2</v>
      </c>
      <c r="O24" s="1">
        <f ca="1">+C$11+C$12*$F24</f>
        <v>7.0064904708231082E-2</v>
      </c>
      <c r="Q24" s="43">
        <f>+C24-15018.5</f>
        <v>42730.218049999792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2024-01-17T04:46:16Z</dcterms:created>
  <dcterms:modified xsi:type="dcterms:W3CDTF">2024-01-17T04:46:17Z</dcterms:modified>
</cp:coreProperties>
</file>