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3DDC8ED-C9C6-4B4A-8ACA-D9FA709FD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Q22" i="1"/>
  <c r="E22" i="1"/>
  <c r="F22" i="1" s="1"/>
  <c r="G22" i="1" s="1"/>
  <c r="I22" i="1" s="1"/>
  <c r="C9" i="1"/>
  <c r="C21" i="1"/>
  <c r="E21" i="1" s="1"/>
  <c r="F21" i="1" s="1"/>
  <c r="C17" i="1"/>
  <c r="D9" i="1"/>
  <c r="A21" i="1"/>
  <c r="F16" i="1"/>
  <c r="Q21" i="1"/>
  <c r="G21" i="1" l="1"/>
  <c r="F17" i="1"/>
  <c r="C12" i="1"/>
  <c r="C11" i="1"/>
  <c r="O23" i="1" l="1"/>
  <c r="O22" i="1"/>
  <c r="O21" i="1"/>
  <c r="C15" i="1"/>
  <c r="F18" i="1" s="1"/>
  <c r="C16" i="1"/>
  <c r="D18" i="1" s="1"/>
  <c r="I21" i="1"/>
  <c r="F19" i="1" l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<sst xmlns="http://schemas.openxmlformats.org/spreadsheetml/2006/main" count="55" uniqueCount="50">
  <si>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</si>
  <si>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</si>
  <si>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</si>
  <si>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</si>
  <si>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</si>
  <si>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</si>
  <si>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</si>
  <si>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</si>
  <si>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</si>
  <si>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</si>
  <si>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</si>
  <si>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</si>
  <si>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</si>
  <si>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</si>
  <si>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</si>
  <si>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</si>
  <si>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</si>
  <si>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</si>
  <si>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</si>
  <si>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</si>
  <si>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</si>
  <si>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</si>
  <si>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</si>
  <si>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</si>
  <si>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</si>
  <si>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</si>
  <si>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</si>
  <si>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</si>
  <si>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</si>
  <si>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</si>
  <si>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</si>
  <si>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</si>
  <si>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</si>
  <si>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</si>
  <si>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</si>
  <si>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</si>
  <si>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</si>
  <si>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</si>
  <si>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</si>
  <si>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</si>
  <si>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</si>
  <si>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</si>
  <si>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JAVSO 49, 251</t>
  </si>
  <si>
    <t>DU Vel</t>
  </si>
  <si>
    <t>G8189-0934</t>
  </si>
  <si>
    <t>EA</t>
  </si>
  <si>
    <t>DU Vel / G8189-0934</t>
  </si>
  <si>
    <t>II</t>
  </si>
  <si>
    <t>RIX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</si>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</sst>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166" fontId="1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0" fontId="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Vel-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3C-481F-A403-AE5EF18E32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-0.45168145000207005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3C-481F-A403-AE5EF18E32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3C-481F-A403-AE5EF18E32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0.33160255022812635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3C-481F-A403-AE5EF18E32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3C-481F-A403-AE5EF18E32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3C-481F-A403-AE5EF18E32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5.0200000000000002E-3</c:v>
                  </c:pt>
                  <c:pt idx="2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3C-481F-A403-AE5EF18E32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-4.4592171213620281E-2</c:v>
                </c:pt>
                <c:pt idx="1">
                  <c:v>-3.813365416695557E-2</c:v>
                </c:pt>
                <c:pt idx="2">
                  <c:v>-3.7353074393367859E-2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3C-481F-A403-AE5EF18E323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2068.5</c:v>
                </c:pt>
                <c:pt idx="2">
                  <c:v>2318.5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3C-481F-A403-AE5EF18E3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133768"/>
        <c:axId val="1"/>
      </c:scatterChart>
      <c:valAx>
        <c:axId val="94713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13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34EC6473-14CB-3C69-6383-C94420A4E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M35" sqref="M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6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44" t="s">
        <v>46</v>
      </c>
      <c r="F1" s="34" t="s">
        <v>43</v>
      </c>
      <c r="G1" s="38">
        <v>0</v>
      </c>
      <c r="H1" s="30"/>
      <c r="I1" s="39" t="s">
        <v>44</v>
      </c>
      <c r="J1" s="40" t="s">
        <v>43</v>
      </c>
      <c r="K1" s="33">
        <v>9.4542099999999998</v>
      </c>
      <c r="L1" s="41">
        <v>-49.133000000000003</v>
      </c>
      <c r="M1" s="42">
        <v>52502.718800000002</v>
      </c>
      <c r="N1" s="42">
        <v>3.1050517000000002</v>
      </c>
      <c r="O1" s="43" t="s">
        <v>45</v>
      </c>
    </row>
    <row r="2" spans="1:15" x14ac:dyDescent="0.2">
      <c r="A2" t="s">
        <v>23</v>
      </c>
      <c r="B2" t="s">
        <v>45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47">
        <v>52502.718800000002</v>
      </c>
      <c r="D7" s="28"/>
    </row>
    <row r="8" spans="1:15" x14ac:dyDescent="0.2">
      <c r="A8" t="s">
        <v>3</v>
      </c>
      <c r="C8" s="47">
        <v>3.1050517000000002</v>
      </c>
      <c r="D8" s="28"/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INTERCEPT(INDIRECT($D$9):G991,INDIRECT($C$9):F991)</f>
        <v>-4.4592171213620281E-2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SLOPE(INDIRECT($D$9):G991,INDIRECT($C$9):F991)</f>
        <v>3.1223190943508404E-6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(C7+C11)+(C8+C12)*INT(MAX(F21:F3532))</f>
        <v>59700.191285964451</v>
      </c>
      <c r="E15" s="13" t="s">
        <v>34</v>
      </c>
      <c r="F15" s="31">
        <v>1</v>
      </c>
    </row>
    <row r="16" spans="1:15" x14ac:dyDescent="0.2">
      <c r="A16" s="15" t="s">
        <v>4</v>
      </c>
      <c r="B16" s="9"/>
      <c r="C16" s="16">
        <f ca="1">+C8+C12</f>
        <v>3.1050548223190946</v>
      </c>
      <c r="E16" s="13" t="s">
        <v>30</v>
      </c>
      <c r="F16" s="32">
        <f ca="1">NOW()+15018.5+$C$5/24</f>
        <v>60326.748042939813</v>
      </c>
    </row>
    <row r="17" spans="1:23" ht="13.5" thickBot="1" x14ac:dyDescent="0.25">
      <c r="A17" s="13" t="s">
        <v>27</v>
      </c>
      <c r="B17" s="9"/>
      <c r="C17" s="9">
        <f>COUNT(C21:C2190)</f>
        <v>3</v>
      </c>
      <c r="E17" s="13" t="s">
        <v>35</v>
      </c>
      <c r="F17" s="14">
        <f ca="1">ROUND(2*(F16-$C$7)/$C$8,0)/2+F15</f>
        <v>2521</v>
      </c>
    </row>
    <row r="18" spans="1:23" ht="14.25" thickTop="1" thickBot="1" x14ac:dyDescent="0.25">
      <c r="A18" s="15" t="s">
        <v>5</v>
      </c>
      <c r="B18" s="9"/>
      <c r="C18" s="18">
        <f ca="1">+C15</f>
        <v>59700.191285964451</v>
      </c>
      <c r="D18" s="19">
        <f ca="1">+C16</f>
        <v>3.1050548223190946</v>
      </c>
      <c r="E18" s="13" t="s">
        <v>36</v>
      </c>
      <c r="F18" s="22">
        <f ca="1">ROUND(2*(F16-$C$15)/$C$16,0)/2+F15</f>
        <v>203</v>
      </c>
    </row>
    <row r="19" spans="1:23" ht="13.5" thickTop="1" x14ac:dyDescent="0.2">
      <c r="E19" s="13" t="s">
        <v>31</v>
      </c>
      <c r="F19" s="17">
        <f ca="1">+$C$15+$C$16*F18-15018.5-$C$5/24</f>
        <v>45312.413248228564</v>
      </c>
    </row>
    <row r="20" spans="1:23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3" x14ac:dyDescent="0.2">
      <c r="A21">
        <f>D7</f>
        <v>0</v>
      </c>
      <c r="C21" s="7">
        <f>C$7</f>
        <v>52502.718800000002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-4.4592171213620281E-2</v>
      </c>
      <c r="Q21" s="1">
        <f>+C21-15018.5</f>
        <v>37484.218800000002</v>
      </c>
    </row>
    <row r="22" spans="1:23" x14ac:dyDescent="0.2">
      <c r="A22" s="35" t="s">
        <v>42</v>
      </c>
      <c r="B22" s="36" t="s">
        <v>47</v>
      </c>
      <c r="C22" s="37">
        <v>58925.066559999999</v>
      </c>
      <c r="D22" s="37">
        <v>5.0200000000000002E-3</v>
      </c>
      <c r="E22">
        <f>+(C22-C$7)/C$8</f>
        <v>2068.3545333560778</v>
      </c>
      <c r="F22">
        <f>ROUND(2*E22,0)/2</f>
        <v>2068.5</v>
      </c>
      <c r="G22">
        <f>+C22-(C$7+F22*C$8)</f>
        <v>-0.45168145000207005</v>
      </c>
      <c r="I22">
        <f>+G22</f>
        <v>-0.45168145000207005</v>
      </c>
      <c r="O22">
        <f ca="1">+C$11+C$12*$F22</f>
        <v>-3.813365416695557E-2</v>
      </c>
      <c r="Q22" s="1">
        <f>+C22-15018.5</f>
        <v>43906.566559999999</v>
      </c>
    </row>
    <row r="23" spans="1:23" x14ac:dyDescent="0.2">
      <c r="A23" s="45" t="s">
        <v>48</v>
      </c>
      <c r="B23" s="46" t="s">
        <v>47</v>
      </c>
      <c r="C23" s="48">
        <v>59702.112769000232</v>
      </c>
      <c r="D23" s="49">
        <v>1.3140000000000001E-3</v>
      </c>
      <c r="E23">
        <f>+(C23-C$7)/C$8</f>
        <v>2318.6067945342838</v>
      </c>
      <c r="F23">
        <f>ROUND(2*E23,0)/2</f>
        <v>2318.5</v>
      </c>
      <c r="G23">
        <f>+C23-(C$7+F23*C$8)</f>
        <v>0.33160255022812635</v>
      </c>
      <c r="K23">
        <f>+G23</f>
        <v>0.33160255022812635</v>
      </c>
      <c r="O23">
        <f ca="1">+C$11+C$12*$F23</f>
        <v>-3.7353074393367859E-2</v>
      </c>
      <c r="Q23" s="1">
        <f>+C23-15018.5</f>
        <v>44683.612769000232</v>
      </c>
      <c r="W23" s="50" t="s">
        <v>49</v>
      </c>
    </row>
    <row r="24" spans="1:23" x14ac:dyDescent="0.2">
      <c r="C24" s="7"/>
      <c r="D24" s="7"/>
      <c r="Q24" s="1"/>
    </row>
    <row r="25" spans="1:23" x14ac:dyDescent="0.2">
      <c r="C25" s="7"/>
      <c r="D25" s="7"/>
      <c r="Q25" s="1"/>
    </row>
    <row r="26" spans="1:23" x14ac:dyDescent="0.2">
      <c r="C26" s="7"/>
      <c r="D26" s="7"/>
      <c r="Q26" s="1"/>
    </row>
    <row r="27" spans="1:23" x14ac:dyDescent="0.2">
      <c r="C27" s="7"/>
      <c r="D27" s="7"/>
      <c r="Q27" s="1"/>
    </row>
    <row r="28" spans="1:23" x14ac:dyDescent="0.2">
      <c r="C28" s="7"/>
      <c r="D28" s="7"/>
      <c r="Q28" s="1"/>
    </row>
    <row r="29" spans="1:23" x14ac:dyDescent="0.2">
      <c r="C29" s="7"/>
      <c r="D29" s="7"/>
      <c r="Q29" s="1"/>
    </row>
    <row r="30" spans="1:23" x14ac:dyDescent="0.2">
      <c r="C30" s="7"/>
      <c r="D30" s="7"/>
      <c r="Q30" s="1"/>
    </row>
    <row r="31" spans="1:23" x14ac:dyDescent="0.2">
      <c r="C31" s="7"/>
      <c r="D31" s="7"/>
      <c r="Q31" s="1"/>
    </row>
    <row r="32" spans="1:23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2024-01-17T04:57:10Z</dcterms:modified>
</cp:coreProperties>
</file>