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3DDC8ED-C9C6-4B4A-8ACA-D9FA709FD7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Q22" i="1"/>
  <c r="E22" i="1"/>
  <c r="F22" i="1" s="1"/>
  <c r="G22" i="1" s="1"/>
  <c r="I22" i="1" s="1"/>
  <c r="C9" i="1"/>
  <c r="C21" i="1"/>
  <c r="E21" i="1" s="1"/>
  <c r="F21" i="1" s="1"/>
  <c r="C17" i="1"/>
  <c r="D9" i="1"/>
  <c r="A21" i="1"/>
  <c r="F16" i="1"/>
  <c r="Q21" i="1"/>
  <c r="G21" i="1" l="1"/>
  <c r="F17" i="1"/>
  <c r="C12" i="1"/>
  <c r="C11" i="1"/>
  <c r="O23" i="1" l="1"/>
  <c r="O22" i="1"/>
  <c r="O21" i="1"/>
  <c r="C15" i="1"/>
  <c r="F18" i="1" s="1"/>
  <c r="C16" i="1"/>
  <c r="D18" i="1" s="1"/>
  <c r="I21" i="1"/>
  <c r="F19" i="1" l="1"/>
  <c r="C18" i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<sst xmlns="http://schemas.openxmlformats.org/spreadsheetml/2006/main" count="55" uniqueCount="50">
  <si>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</si>
  <si>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</si>
  <si>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</si>
  <si>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</si>
  <si>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</si>
  <si>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</si>
  <si>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</si>
  <si>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</si>
  <si>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</si>
  <si>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</si>
  <si>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</si>
  <si>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</si>
  <si>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</si>
  <si>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</si>
  <si>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</si>
  <si>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</si>
  <si>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</si>
  <si>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</si>
  <si>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</si>
  <si>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</si>
  <si>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</si>
  <si>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</si>
  <si>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</si>
  <si>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</si>
  <si>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</si>
  <si>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</si>
  <si>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</si>
  <si>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</si>
  <si>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</si>
  <si>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</si>
  <si>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</si>
  <si>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</si>
  <si>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</si>
  <si>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</si>
  <si>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</si>
  <si>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</si>
  <si>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</si>
  <si>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</si>
  <si>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</si>
  <si>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</si>
  <si>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</si>
  <si>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</si>
  <si>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JAVSO 49, 251</t>
  </si>
  <si>
    <t>DU Vel</t>
  </si>
  <si>
    <t>G8189-0934</t>
  </si>
  <si>
    <t>EA</t>
  </si>
  <si>
    <t>DU Vel / G8189-0934</t>
  </si>
  <si>
    <t>II</t>
  </si>
  <si>
    <t>RIX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</si>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</sst>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00"/>
    <numFmt numFmtId="167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5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65" fontId="4" fillId="0" borderId="1" xfId="0" applyNumberFormat="1" applyFont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/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0" fillId="0" borderId="0" xfId="0" applyAlignment="1">
      <alignment horizontal="right"/>
    </xf>
    <xf numFmtId="166" fontId="19" fillId="0" borderId="0" xfId="0" applyNumberFormat="1" applyFont="1" applyAlignment="1">
      <alignment horizontal="left"/>
    </xf>
    <xf numFmtId="167" fontId="19" fillId="0" borderId="0" xfId="0" applyNumberFormat="1" applyFont="1" applyAlignment="1">
      <alignment horizontal="left"/>
    </xf>
    <xf numFmtId="0" fontId="7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DU Vel-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5.0200000000000002E-3</c:v>
                  </c:pt>
                  <c:pt idx="2">
                    <c:v>1.3140000000000001E-3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5.0200000000000002E-3</c:v>
                  </c:pt>
                  <c:pt idx="2">
                    <c:v>1.3140000000000001E-3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2068.5</c:v>
                </c:pt>
                <c:pt idx="2">
                  <c:v>2318.5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3C-481F-A403-AE5EF18E323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5.0200000000000002E-3</c:v>
                  </c:pt>
                  <c:pt idx="2">
                    <c:v>1.3140000000000001E-3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5.0200000000000002E-3</c:v>
                  </c:pt>
                  <c:pt idx="2">
                    <c:v>1.3140000000000001E-3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2068.5</c:v>
                </c:pt>
                <c:pt idx="2">
                  <c:v>2318.5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  <c:pt idx="1">
                  <c:v>-0.45168145000207005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3C-481F-A403-AE5EF18E323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5.0200000000000002E-3</c:v>
                  </c:pt>
                  <c:pt idx="2">
                    <c:v>1.3140000000000001E-3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5.0200000000000002E-3</c:v>
                  </c:pt>
                  <c:pt idx="2">
                    <c:v>1.3140000000000001E-3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2068.5</c:v>
                </c:pt>
                <c:pt idx="2">
                  <c:v>2318.5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3C-481F-A403-AE5EF18E323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5.0200000000000002E-3</c:v>
                  </c:pt>
                  <c:pt idx="2">
                    <c:v>1.3140000000000001E-3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5.0200000000000002E-3</c:v>
                  </c:pt>
                  <c:pt idx="2">
                    <c:v>1.3140000000000001E-3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2068.5</c:v>
                </c:pt>
                <c:pt idx="2">
                  <c:v>2318.5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">
                  <c:v>0.33160255022812635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3C-481F-A403-AE5EF18E323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5.0200000000000002E-3</c:v>
                  </c:pt>
                  <c:pt idx="2">
                    <c:v>1.3140000000000001E-3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5.0200000000000002E-3</c:v>
                  </c:pt>
                  <c:pt idx="2">
                    <c:v>1.3140000000000001E-3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2068.5</c:v>
                </c:pt>
                <c:pt idx="2">
                  <c:v>2318.5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3C-481F-A403-AE5EF18E323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5.0200000000000002E-3</c:v>
                  </c:pt>
                  <c:pt idx="2">
                    <c:v>1.3140000000000001E-3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5.0200000000000002E-3</c:v>
                  </c:pt>
                  <c:pt idx="2">
                    <c:v>1.3140000000000001E-3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2068.5</c:v>
                </c:pt>
                <c:pt idx="2">
                  <c:v>2318.5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3C-481F-A403-AE5EF18E323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5.0200000000000002E-3</c:v>
                  </c:pt>
                  <c:pt idx="2">
                    <c:v>1.3140000000000001E-3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5.0200000000000002E-3</c:v>
                  </c:pt>
                  <c:pt idx="2">
                    <c:v>1.3140000000000001E-3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2068.5</c:v>
                </c:pt>
                <c:pt idx="2">
                  <c:v>2318.5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3C-481F-A403-AE5EF18E323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2068.5</c:v>
                </c:pt>
                <c:pt idx="2">
                  <c:v>2318.5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-4.4592171213620281E-2</c:v>
                </c:pt>
                <c:pt idx="1">
                  <c:v>-3.813365416695557E-2</c:v>
                </c:pt>
                <c:pt idx="2">
                  <c:v>-3.7353074393367859E-2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3C-481F-A403-AE5EF18E323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2068.5</c:v>
                </c:pt>
                <c:pt idx="2">
                  <c:v>2318.5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D3C-481F-A403-AE5EF18E3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7133768"/>
        <c:axId val="1"/>
      </c:scatterChart>
      <c:valAx>
        <c:axId val="947133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7133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18</xdr:row>
      <xdr:rowOff>95250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34EC6473-14CB-3C69-6383-C94420A4E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9"/>
  <sheetViews>
    <sheetView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M35" sqref="M3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6.57031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44" t="s">
        <v>46</v>
      </c>
      <c r="F1" s="34" t="s">
        <v>43</v>
      </c>
      <c r="G1" s="38">
        <v>0</v>
      </c>
      <c r="H1" s="30"/>
      <c r="I1" s="39" t="s">
        <v>44</v>
      </c>
      <c r="J1" s="40" t="s">
        <v>43</v>
      </c>
      <c r="K1" s="33">
        <v>9.4542099999999998</v>
      </c>
      <c r="L1" s="41">
        <v>-49.133000000000003</v>
      </c>
      <c r="M1" s="42">
        <v>52502.718800000002</v>
      </c>
      <c r="N1" s="42">
        <v>3.1050517000000002</v>
      </c>
      <c r="O1" s="43" t="s">
        <v>45</v>
      </c>
    </row>
    <row r="2" spans="1:15" x14ac:dyDescent="0.2">
      <c r="A2" t="s">
        <v>23</v>
      </c>
      <c r="B2" t="s">
        <v>45</v>
      </c>
      <c r="C2" s="29"/>
      <c r="D2" s="2"/>
    </row>
    <row r="3" spans="1:15" ht="13.5" thickBot="1" x14ac:dyDescent="0.25"/>
    <row r="4" spans="1:15" ht="14.25" thickTop="1" thickBot="1" x14ac:dyDescent="0.25">
      <c r="A4" s="4" t="s">
        <v>0</v>
      </c>
      <c r="C4" s="26" t="s">
        <v>37</v>
      </c>
      <c r="D4" s="27" t="s">
        <v>37</v>
      </c>
    </row>
    <row r="5" spans="1:15" ht="13.5" thickTop="1" x14ac:dyDescent="0.2">
      <c r="A5" s="8" t="s">
        <v>28</v>
      </c>
      <c r="B5" s="9"/>
      <c r="C5" s="10">
        <v>-9.5</v>
      </c>
      <c r="D5" s="9" t="s">
        <v>29</v>
      </c>
      <c r="E5" s="9"/>
    </row>
    <row r="6" spans="1:15" x14ac:dyDescent="0.2">
      <c r="A6" s="4" t="s">
        <v>1</v>
      </c>
    </row>
    <row r="7" spans="1:15" x14ac:dyDescent="0.2">
      <c r="A7" t="s">
        <v>2</v>
      </c>
      <c r="C7" s="47">
        <v>52502.718800000002</v>
      </c>
      <c r="D7" s="28"/>
    </row>
    <row r="8" spans="1:15" x14ac:dyDescent="0.2">
      <c r="A8" t="s">
        <v>3</v>
      </c>
      <c r="C8" s="47">
        <v>3.1050517000000002</v>
      </c>
      <c r="D8" s="28"/>
    </row>
    <row r="9" spans="1:15" x14ac:dyDescent="0.2">
      <c r="A9" s="23" t="s">
        <v>32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15" ht="13.5" thickBot="1" x14ac:dyDescent="0.25">
      <c r="A10" s="9"/>
      <c r="B10" s="9"/>
      <c r="C10" s="3" t="s">
        <v>19</v>
      </c>
      <c r="D10" s="3" t="s">
        <v>20</v>
      </c>
      <c r="E10" s="9"/>
    </row>
    <row r="11" spans="1:15" x14ac:dyDescent="0.2">
      <c r="A11" s="9" t="s">
        <v>15</v>
      </c>
      <c r="B11" s="9"/>
      <c r="C11" s="20">
        <f ca="1">INTERCEPT(INDIRECT($D$9):G991,INDIRECT($C$9):F991)</f>
        <v>-4.4592171213620281E-2</v>
      </c>
      <c r="D11" s="2"/>
      <c r="E11" s="9"/>
    </row>
    <row r="12" spans="1:15" x14ac:dyDescent="0.2">
      <c r="A12" s="9" t="s">
        <v>16</v>
      </c>
      <c r="B12" s="9"/>
      <c r="C12" s="20">
        <f ca="1">SLOPE(INDIRECT($D$9):G991,INDIRECT($C$9):F991)</f>
        <v>3.1223190943508404E-6</v>
      </c>
      <c r="D12" s="2"/>
      <c r="E12" s="9"/>
    </row>
    <row r="13" spans="1:15" x14ac:dyDescent="0.2">
      <c r="A13" s="9" t="s">
        <v>18</v>
      </c>
      <c r="B13" s="9"/>
      <c r="C13" s="2" t="s">
        <v>13</v>
      </c>
    </row>
    <row r="14" spans="1:15" x14ac:dyDescent="0.2">
      <c r="A14" s="9"/>
      <c r="B14" s="9"/>
      <c r="C14" s="9"/>
    </row>
    <row r="15" spans="1:15" x14ac:dyDescent="0.2">
      <c r="A15" s="11" t="s">
        <v>17</v>
      </c>
      <c r="B15" s="9"/>
      <c r="C15" s="12">
        <f ca="1">(C7+C11)+(C8+C12)*INT(MAX(F21:F3532))</f>
        <v>59700.191285964451</v>
      </c>
      <c r="E15" s="13" t="s">
        <v>34</v>
      </c>
      <c r="F15" s="31">
        <v>1</v>
      </c>
    </row>
    <row r="16" spans="1:15" x14ac:dyDescent="0.2">
      <c r="A16" s="15" t="s">
        <v>4</v>
      </c>
      <c r="B16" s="9"/>
      <c r="C16" s="16">
        <f ca="1">+C8+C12</f>
        <v>3.1050548223190946</v>
      </c>
      <c r="E16" s="13" t="s">
        <v>30</v>
      </c>
      <c r="F16" s="32">
        <f ca="1">NOW()+15018.5+$C$5/24</f>
        <v>60326.748042939813</v>
      </c>
    </row>
    <row r="17" spans="1:23" ht="13.5" thickBot="1" x14ac:dyDescent="0.25">
      <c r="A17" s="13" t="s">
        <v>27</v>
      </c>
      <c r="B17" s="9"/>
      <c r="C17" s="9">
        <f>COUNT(C21:C2190)</f>
        <v>3</v>
      </c>
      <c r="E17" s="13" t="s">
        <v>35</v>
      </c>
      <c r="F17" s="14">
        <f ca="1">ROUND(2*(F16-$C$7)/$C$8,0)/2+F15</f>
        <v>2521</v>
      </c>
    </row>
    <row r="18" spans="1:23" ht="14.25" thickTop="1" thickBot="1" x14ac:dyDescent="0.25">
      <c r="A18" s="15" t="s">
        <v>5</v>
      </c>
      <c r="B18" s="9"/>
      <c r="C18" s="18">
        <f ca="1">+C15</f>
        <v>59700.191285964451</v>
      </c>
      <c r="D18" s="19">
        <f ca="1">+C16</f>
        <v>3.1050548223190946</v>
      </c>
      <c r="E18" s="13" t="s">
        <v>36</v>
      </c>
      <c r="F18" s="22">
        <f ca="1">ROUND(2*(F16-$C$15)/$C$16,0)/2+F15</f>
        <v>203</v>
      </c>
    </row>
    <row r="19" spans="1:23" ht="13.5" thickTop="1" x14ac:dyDescent="0.2">
      <c r="E19" s="13" t="s">
        <v>31</v>
      </c>
      <c r="F19" s="17">
        <f ca="1">+$C$15+$C$16*F18-15018.5-$C$5/24</f>
        <v>45312.413248228564</v>
      </c>
    </row>
    <row r="20" spans="1:23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38</v>
      </c>
      <c r="I20" s="6" t="s">
        <v>39</v>
      </c>
      <c r="J20" s="6" t="s">
        <v>40</v>
      </c>
      <c r="K20" s="6" t="s">
        <v>41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U20" s="25" t="s">
        <v>33</v>
      </c>
    </row>
    <row r="21" spans="1:23" x14ac:dyDescent="0.2">
      <c r="A21">
        <f>D7</f>
        <v>0</v>
      </c>
      <c r="C21" s="7">
        <f>C$7</f>
        <v>52502.718800000002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-4.4592171213620281E-2</v>
      </c>
      <c r="Q21" s="1">
        <f>+C21-15018.5</f>
        <v>37484.218800000002</v>
      </c>
    </row>
    <row r="22" spans="1:23" x14ac:dyDescent="0.2">
      <c r="A22" s="35" t="s">
        <v>42</v>
      </c>
      <c r="B22" s="36" t="s">
        <v>47</v>
      </c>
      <c r="C22" s="37">
        <v>58925.066559999999</v>
      </c>
      <c r="D22" s="37">
        <v>5.0200000000000002E-3</v>
      </c>
      <c r="E22">
        <f>+(C22-C$7)/C$8</f>
        <v>2068.3545333560778</v>
      </c>
      <c r="F22">
        <f>ROUND(2*E22,0)/2</f>
        <v>2068.5</v>
      </c>
      <c r="G22">
        <f>+C22-(C$7+F22*C$8)</f>
        <v>-0.45168145000207005</v>
      </c>
      <c r="I22">
        <f>+G22</f>
        <v>-0.45168145000207005</v>
      </c>
      <c r="O22">
        <f ca="1">+C$11+C$12*$F22</f>
        <v>-3.813365416695557E-2</v>
      </c>
      <c r="Q22" s="1">
        <f>+C22-15018.5</f>
        <v>43906.566559999999</v>
      </c>
    </row>
    <row r="23" spans="1:23" x14ac:dyDescent="0.2">
      <c r="A23" s="45" t="s">
        <v>48</v>
      </c>
      <c r="B23" s="46" t="s">
        <v>47</v>
      </c>
      <c r="C23" s="48">
        <v>59702.112769000232</v>
      </c>
      <c r="D23" s="49">
        <v>1.3140000000000001E-3</v>
      </c>
      <c r="E23">
        <f>+(C23-C$7)/C$8</f>
        <v>2318.6067945342838</v>
      </c>
      <c r="F23">
        <f>ROUND(2*E23,0)/2</f>
        <v>2318.5</v>
      </c>
      <c r="G23">
        <f>+C23-(C$7+F23*C$8)</f>
        <v>0.33160255022812635</v>
      </c>
      <c r="K23">
        <f>+G23</f>
        <v>0.33160255022812635</v>
      </c>
      <c r="O23">
        <f ca="1">+C$11+C$12*$F23</f>
        <v>-3.7353074393367859E-2</v>
      </c>
      <c r="Q23" s="1">
        <f>+C23-15018.5</f>
        <v>44683.612769000232</v>
      </c>
      <c r="W23" s="50" t="s">
        <v>49</v>
      </c>
    </row>
    <row r="24" spans="1:23" x14ac:dyDescent="0.2">
      <c r="C24" s="7"/>
      <c r="D24" s="7"/>
      <c r="Q24" s="1"/>
    </row>
    <row r="25" spans="1:23" x14ac:dyDescent="0.2">
      <c r="C25" s="7"/>
      <c r="D25" s="7"/>
      <c r="Q25" s="1"/>
    </row>
    <row r="26" spans="1:23" x14ac:dyDescent="0.2">
      <c r="C26" s="7"/>
      <c r="D26" s="7"/>
      <c r="Q26" s="1"/>
    </row>
    <row r="27" spans="1:23" x14ac:dyDescent="0.2">
      <c r="C27" s="7"/>
      <c r="D27" s="7"/>
      <c r="Q27" s="1"/>
    </row>
    <row r="28" spans="1:23" x14ac:dyDescent="0.2">
      <c r="C28" s="7"/>
      <c r="D28" s="7"/>
      <c r="Q28" s="1"/>
    </row>
    <row r="29" spans="1:23" x14ac:dyDescent="0.2">
      <c r="C29" s="7"/>
      <c r="D29" s="7"/>
      <c r="Q29" s="1"/>
    </row>
    <row r="30" spans="1:23" x14ac:dyDescent="0.2">
      <c r="C30" s="7"/>
      <c r="D30" s="7"/>
      <c r="Q30" s="1"/>
    </row>
    <row r="31" spans="1:23" x14ac:dyDescent="0.2">
      <c r="C31" s="7"/>
      <c r="D31" s="7"/>
      <c r="Q31" s="1"/>
    </row>
    <row r="32" spans="1:23" x14ac:dyDescent="0.2">
      <c r="C32" s="7"/>
      <c r="D32" s="7"/>
      <c r="Q32" s="1"/>
    </row>
    <row r="33" spans="3:4" x14ac:dyDescent="0.2">
      <c r="C33" s="7"/>
      <c r="D33" s="7"/>
    </row>
    <row r="34" spans="3:4" x14ac:dyDescent="0.2">
      <c r="C34" s="7"/>
      <c r="D34" s="7"/>
    </row>
    <row r="35" spans="3:4" x14ac:dyDescent="0.2">
      <c r="C35" s="7"/>
      <c r="D35" s="7"/>
    </row>
    <row r="36" spans="3:4" x14ac:dyDescent="0.2">
      <c r="C36" s="7"/>
      <c r="D36" s="7"/>
    </row>
    <row r="37" spans="3:4" x14ac:dyDescent="0.2">
      <c r="C37" s="7"/>
      <c r="D37" s="7"/>
    </row>
    <row r="38" spans="3:4" x14ac:dyDescent="0.2">
      <c r="C38" s="7"/>
      <c r="D38" s="7"/>
    </row>
    <row r="39" spans="3:4" x14ac:dyDescent="0.2">
      <c r="C39" s="7"/>
      <c r="D39" s="7"/>
    </row>
    <row r="40" spans="3:4" x14ac:dyDescent="0.2">
      <c r="C40" s="7"/>
      <c r="D40" s="7"/>
    </row>
    <row r="41" spans="3:4" x14ac:dyDescent="0.2">
      <c r="C41" s="7"/>
      <c r="D41" s="7"/>
    </row>
    <row r="42" spans="3:4" x14ac:dyDescent="0.2">
      <c r="C42" s="7"/>
      <c r="D42" s="7"/>
    </row>
    <row r="43" spans="3:4" x14ac:dyDescent="0.2">
      <c r="C43" s="7"/>
      <c r="D43" s="7"/>
    </row>
    <row r="44" spans="3:4" x14ac:dyDescent="0.2">
      <c r="C44" s="7"/>
      <c r="D44" s="7"/>
    </row>
    <row r="45" spans="3:4" x14ac:dyDescent="0.2">
      <c r="C45" s="7"/>
      <c r="D45" s="7"/>
    </row>
    <row r="46" spans="3:4" x14ac:dyDescent="0.2">
      <c r="C46" s="7"/>
      <c r="D46" s="7"/>
    </row>
    <row r="47" spans="3:4" x14ac:dyDescent="0.2">
      <c r="C47" s="7"/>
      <c r="D47" s="7"/>
    </row>
    <row r="48" spans="3:4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2024-01-17T04:57:10Z</dcterms:modified>
</cp:coreProperties>
</file>