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866FB62-231D-4C15-AD2F-FDEF6E796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8" i="1" l="1"/>
  <c r="D9" i="1"/>
  <c r="E9" i="1"/>
  <c r="F16" i="1"/>
  <c r="F17" i="1" s="1"/>
  <c r="C17" i="1"/>
  <c r="C21" i="1"/>
  <c r="G21" i="1"/>
  <c r="H21" i="1"/>
  <c r="E21" i="1"/>
  <c r="F21" i="1"/>
  <c r="E22" i="1"/>
  <c r="F22" i="1"/>
  <c r="G22" i="1"/>
  <c r="K22" i="1"/>
  <c r="Q22" i="1"/>
  <c r="E23" i="1"/>
  <c r="F23" i="1"/>
  <c r="G23" i="1"/>
  <c r="K23" i="1"/>
  <c r="Q23" i="1"/>
  <c r="Q21" i="1"/>
  <c r="C11" i="1"/>
  <c r="C12" i="1"/>
  <c r="C16" i="1" l="1"/>
  <c r="D18" i="1" s="1"/>
  <c r="C15" i="1"/>
  <c r="F18" i="1" s="1"/>
  <c r="O23" i="1"/>
  <c r="O21" i="1"/>
  <c r="O22" i="1"/>
  <c r="F19" i="1" l="1"/>
  <c r="C18" i="1"/>
</calcChain>
</file>

<file path=xl/sharedStrings.xml><?xml version="1.0" encoding="utf-8"?>
<sst xmlns="http://schemas.openxmlformats.org/spreadsheetml/2006/main" count="54" uniqueCount="49">
  <si>
    <t>EQ Vel / GSC 8151-2051</t>
  </si>
  <si>
    <t>EQ Vel</t>
  </si>
  <si>
    <t>G8151-2051</t>
  </si>
  <si>
    <t>EA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</si>
  <si>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</si>
  <si>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</si>
  <si>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</si>
  <si>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</si>
  <si>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</si>
  <si>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</si>
  <si>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 4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</si>
  <si>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</si>
  <si>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</si>
  <si>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</si>
  <si>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</si>
  <si>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</si>
  <si>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</si>
  <si>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</si>
  <si>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</si>
  <si>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</si>
  <si>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</si>
  <si>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</si>
  <si>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</si>
  <si>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</si>
  <si>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</si>
  <si>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</si>
  <si>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</si>
  <si>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</si>
  <si>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</si>
  <si>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</si>
  <si>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</si>
  <si>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</si>
  <si>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</si>
  <si>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</si>
  <si>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</si>
  <si>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</si>
  <si>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</si>
  <si>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</si>
  <si>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</si>
  <si>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</si>
  <si>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</si>
  <si>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</si>
  <si>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</si>
  <si>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</si>
  <si>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</si>
  <si>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</si>
  <si>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JAVSO..44…26</t>
  </si>
  <si>
    <t>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</si>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</sst>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d/mm/yyyy;@"/>
  </numFmts>
  <fonts count="14" x14ac:knownFonts="1">
    <font>
      <sz val="10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3" fillId="0" borderId="0"/>
  </cellStyleXfs>
  <cellXfs count="4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>
      <alignment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5" xfId="0" applyBorder="1" applyAlignment="1">
      <alignment horizontal="center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9" fillId="0" borderId="0" xfId="0" applyNumberFormat="1" applyFont="1">
      <alignment vertical="top"/>
    </xf>
    <xf numFmtId="0" fontId="4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5" applyFont="1" applyAlignment="1">
      <alignment horizontal="left" vertical="center"/>
    </xf>
    <xf numFmtId="0" fontId="11" fillId="0" borderId="0" xfId="5" applyFont="1" applyAlignment="1">
      <alignment horizontal="center" vertical="center"/>
    </xf>
    <xf numFmtId="0" fontId="12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horizontal="right"/>
    </xf>
  </cellXfs>
  <cellStyles count="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Vel - O-C Diagr.</a:t>
            </a:r>
          </a:p>
        </c:rich>
      </c:tx>
      <c:layout>
        <c:manualLayout>
          <c:xMode val="edge"/>
          <c:yMode val="edge"/>
          <c:x val="0.381954887218045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601503759398496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Active!$F$21:$F$230</c:f>
              <c:numCache>
                <c:formatCode>General</c:formatCode>
                <c:ptCount val="210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Active!$H$21:$H$230</c:f>
              <c:numCache>
                <c:formatCode>General</c:formatCode>
                <c:ptCount val="2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B0-403B-959D-9288304C06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Active!$I$21:$I$23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B0-403B-959D-9288304C06E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Active!$J$21:$J$23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B0-403B-959D-9288304C06E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Active!$F$21:$F$2300</c:f>
              <c:numCache>
                <c:formatCode>General</c:formatCode>
                <c:ptCount val="2280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Active!$K$21:$K$2300</c:f>
              <c:numCache>
                <c:formatCode>General</c:formatCode>
                <c:ptCount val="2280"/>
                <c:pt idx="1">
                  <c:v>-1.789439999993192E-2</c:v>
                </c:pt>
                <c:pt idx="2">
                  <c:v>-8.4384002257138491E-3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B0-403B-959D-9288304C06E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Active!$L$21:$L$23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B0-403B-959D-9288304C06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Active!$M$21:$M$23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B0-403B-959D-9288304C06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Active!$N$21:$N$23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B0-403B-959D-9288304C06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Active!$F$21:$F$200</c:f>
              <c:numCache>
                <c:formatCode>General</c:formatCode>
                <c:ptCount val="180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Active!$O$21:$O$200</c:f>
              <c:numCache>
                <c:formatCode>General</c:formatCode>
                <c:ptCount val="180"/>
                <c:pt idx="0">
                  <c:v>-1.0550613770081603E-4</c:v>
                </c:pt>
                <c:pt idx="1">
                  <c:v>-1.297270884737859E-2</c:v>
                </c:pt>
                <c:pt idx="2">
                  <c:v>-1.3254585240566358E-2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B0-403B-959D-9288304C06E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</c:f>
              <c:numCache>
                <c:formatCode>General</c:formatCode>
                <c:ptCount val="3"/>
                <c:pt idx="0">
                  <c:v>0</c:v>
                </c:pt>
                <c:pt idx="1">
                  <c:v>28302</c:v>
                </c:pt>
                <c:pt idx="2">
                  <c:v>28922</c:v>
                </c:pt>
              </c:numCache>
            </c:numRef>
          </c:xVal>
          <c:yVal>
            <c:numRef>
              <c:f>Active!$R$21:$R$23</c:f>
              <c:numCache>
                <c:formatCode>General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B0-403B-959D-9288304C0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1880"/>
        <c:axId val="1"/>
      </c:scatterChart>
      <c:valAx>
        <c:axId val="30489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18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8872180451127"/>
          <c:y val="0.91291543512015949"/>
          <c:w val="0.714285714285714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28575</xdr:rowOff>
    </xdr:from>
    <xdr:to>
      <xdr:col>17</xdr:col>
      <xdr:colOff>200025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50256B-84A8-0DBC-E4DD-FB9FB2C1F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workbookViewId="0">
      <selection activeCell="U15" sqref="U15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5" ht="20.25" x14ac:dyDescent="0.3">
      <c r="A1" s="2" t="s">
        <v>0</v>
      </c>
      <c r="F1" s="3" t="s">
        <v>1</v>
      </c>
      <c r="G1" s="4">
        <v>0</v>
      </c>
      <c r="H1" s="5"/>
      <c r="I1" s="6" t="s">
        <v>2</v>
      </c>
      <c r="J1" s="7" t="s">
        <v>1</v>
      </c>
      <c r="K1" s="8">
        <v>8.4346600000000009</v>
      </c>
      <c r="L1" s="9">
        <v>-45.051200000000001</v>
      </c>
      <c r="M1" s="10">
        <v>26507.285800000001</v>
      </c>
      <c r="N1" s="10">
        <v>1.0802672</v>
      </c>
      <c r="O1" s="11" t="s">
        <v>3</v>
      </c>
    </row>
    <row r="2" spans="1:15" x14ac:dyDescent="0.2">
      <c r="A2" s="1" t="s">
        <v>4</v>
      </c>
      <c r="B2" s="1" t="s">
        <v>3</v>
      </c>
      <c r="C2" s="12"/>
      <c r="D2" s="13"/>
    </row>
    <row r="4" spans="1:15" x14ac:dyDescent="0.2">
      <c r="A4" s="14" t="s">
        <v>5</v>
      </c>
      <c r="C4" s="15">
        <v>26507.285800000001</v>
      </c>
      <c r="D4" s="16">
        <v>1.0802672</v>
      </c>
    </row>
    <row r="5" spans="1:15" x14ac:dyDescent="0.2">
      <c r="A5" s="17" t="s">
        <v>6</v>
      </c>
      <c r="B5"/>
      <c r="C5" s="18">
        <v>-9.5</v>
      </c>
      <c r="D5" t="s">
        <v>7</v>
      </c>
      <c r="E5"/>
    </row>
    <row r="6" spans="1:15" x14ac:dyDescent="0.2">
      <c r="A6" s="14" t="s">
        <v>8</v>
      </c>
    </row>
    <row r="7" spans="1:15" x14ac:dyDescent="0.2">
      <c r="A7" s="1" t="s">
        <v>9</v>
      </c>
      <c r="C7" s="42">
        <v>26507.285800000001</v>
      </c>
      <c r="D7" s="20" t="s">
        <v>10</v>
      </c>
    </row>
    <row r="8" spans="1:15" x14ac:dyDescent="0.2">
      <c r="A8" s="1" t="s">
        <v>11</v>
      </c>
      <c r="C8" s="42">
        <v>1.0802672</v>
      </c>
      <c r="D8" s="20" t="str">
        <f>D7</f>
        <v>GCVS 4</v>
      </c>
    </row>
    <row r="9" spans="1:15" x14ac:dyDescent="0.2">
      <c r="A9" s="21" t="s">
        <v>12</v>
      </c>
      <c r="C9" s="22">
        <v>21</v>
      </c>
      <c r="D9" s="23" t="str">
        <f>"F"&amp;C9</f>
        <v>F21</v>
      </c>
      <c r="E9" s="24" t="str">
        <f>"G"&amp;C9</f>
        <v>G21</v>
      </c>
    </row>
    <row r="10" spans="1:15" x14ac:dyDescent="0.2">
      <c r="A10"/>
      <c r="B10"/>
      <c r="C10" s="25" t="s">
        <v>13</v>
      </c>
      <c r="D10" s="25" t="s">
        <v>14</v>
      </c>
      <c r="E10"/>
    </row>
    <row r="11" spans="1:15" x14ac:dyDescent="0.2">
      <c r="A11" t="s">
        <v>15</v>
      </c>
      <c r="B11"/>
      <c r="C11" s="26">
        <f ca="1">INTERCEPT(INDIRECT($E$9):G992,INDIRECT($D$9):F992)</f>
        <v>-1.0550613770081603E-4</v>
      </c>
      <c r="D11" s="13"/>
      <c r="E11"/>
    </row>
    <row r="12" spans="1:15" x14ac:dyDescent="0.2">
      <c r="A12" t="s">
        <v>16</v>
      </c>
      <c r="B12"/>
      <c r="C12" s="26">
        <f ca="1">SLOPE(INDIRECT($E$9):G992,INDIRECT($D$9):F992)</f>
        <v>-4.5463934385123926E-7</v>
      </c>
      <c r="D12" s="13"/>
      <c r="E12"/>
    </row>
    <row r="13" spans="1:15" x14ac:dyDescent="0.2">
      <c r="A13" t="s">
        <v>17</v>
      </c>
      <c r="B13"/>
      <c r="C13" s="13" t="s">
        <v>18</v>
      </c>
    </row>
    <row r="14" spans="1:15" x14ac:dyDescent="0.2">
      <c r="A14"/>
      <c r="B14"/>
      <c r="C14"/>
    </row>
    <row r="15" spans="1:15" x14ac:dyDescent="0.2">
      <c r="A15" s="27" t="s">
        <v>19</v>
      </c>
      <c r="B15"/>
      <c r="C15" s="28">
        <f ca="1">(C7+C11)+(C8+C12)*INT(MAX(F21:F3533))</f>
        <v>57750.760503814759</v>
      </c>
      <c r="E15" s="21" t="s">
        <v>20</v>
      </c>
      <c r="F15" s="29">
        <v>1</v>
      </c>
    </row>
    <row r="16" spans="1:15" x14ac:dyDescent="0.2">
      <c r="A16" s="27" t="s">
        <v>21</v>
      </c>
      <c r="B16"/>
      <c r="C16" s="28">
        <f ca="1">+C8+C12</f>
        <v>1.080266745360656</v>
      </c>
      <c r="E16" s="21" t="s">
        <v>22</v>
      </c>
      <c r="F16" s="30">
        <f ca="1">NOW()+15018.5+$C$5/24</f>
        <v>60326.752062152773</v>
      </c>
    </row>
    <row r="17" spans="1:18" x14ac:dyDescent="0.2">
      <c r="A17" s="21" t="s">
        <v>23</v>
      </c>
      <c r="B17"/>
      <c r="C17">
        <f>COUNT(C21:C2191)</f>
        <v>3</v>
      </c>
      <c r="E17" s="21" t="s">
        <v>24</v>
      </c>
      <c r="F17" s="26">
        <f ca="1">ROUND(2*(F16-$C$7)/$C$8,0)/2+F15</f>
        <v>31307.5</v>
      </c>
    </row>
    <row r="18" spans="1:18" x14ac:dyDescent="0.2">
      <c r="A18" s="27" t="s">
        <v>25</v>
      </c>
      <c r="B18"/>
      <c r="C18" s="31">
        <f ca="1">+C15</f>
        <v>57750.760503814759</v>
      </c>
      <c r="D18" s="32">
        <f ca="1">+C16</f>
        <v>1.080266745360656</v>
      </c>
      <c r="E18" s="21" t="s">
        <v>26</v>
      </c>
      <c r="F18" s="24">
        <f ca="1">ROUND(2*(F16-$C$15)/$C$16,0)/2+F15</f>
        <v>2385.5</v>
      </c>
    </row>
    <row r="19" spans="1:18" x14ac:dyDescent="0.2">
      <c r="E19" s="21" t="s">
        <v>27</v>
      </c>
      <c r="F19" s="33">
        <f ca="1">+$C$15+$C$16*F18-15018.5-$C$5/24</f>
        <v>45309.632658205941</v>
      </c>
    </row>
    <row r="20" spans="1:18" x14ac:dyDescent="0.2">
      <c r="A20" s="25" t="s">
        <v>28</v>
      </c>
      <c r="B20" s="25" t="s">
        <v>29</v>
      </c>
      <c r="C20" s="25" t="s">
        <v>30</v>
      </c>
      <c r="D20" s="25" t="s">
        <v>31</v>
      </c>
      <c r="E20" s="25" t="s">
        <v>32</v>
      </c>
      <c r="F20" s="25" t="s">
        <v>33</v>
      </c>
      <c r="G20" s="25" t="s">
        <v>34</v>
      </c>
      <c r="H20" s="34" t="s">
        <v>35</v>
      </c>
      <c r="I20" s="34" t="s">
        <v>36</v>
      </c>
      <c r="J20" s="34" t="s">
        <v>37</v>
      </c>
      <c r="K20" s="34" t="s">
        <v>38</v>
      </c>
      <c r="L20" s="34" t="s">
        <v>39</v>
      </c>
      <c r="M20" s="34" t="s">
        <v>40</v>
      </c>
      <c r="N20" s="34" t="s">
        <v>41</v>
      </c>
      <c r="O20" s="34" t="s">
        <v>42</v>
      </c>
      <c r="P20" s="34" t="s">
        <v>43</v>
      </c>
      <c r="Q20" s="25" t="s">
        <v>44</v>
      </c>
      <c r="R20" s="35" t="s">
        <v>45</v>
      </c>
    </row>
    <row r="21" spans="1:18" x14ac:dyDescent="0.2">
      <c r="A21" s="1" t="s">
        <v>10</v>
      </c>
      <c r="C21" s="19">
        <f>C$7</f>
        <v>26507.285800000001</v>
      </c>
      <c r="D21" s="19" t="s">
        <v>18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-1.0550613770081603E-4</v>
      </c>
      <c r="Q21" s="41">
        <f>+C21-15018.5</f>
        <v>11488.785800000001</v>
      </c>
    </row>
    <row r="22" spans="1:18" x14ac:dyDescent="0.2">
      <c r="A22" s="36" t="s">
        <v>46</v>
      </c>
      <c r="B22" s="37" t="s">
        <v>47</v>
      </c>
      <c r="C22" s="36">
        <v>57080.9902</v>
      </c>
      <c r="D22" s="36">
        <v>4.0000000000000002E-4</v>
      </c>
      <c r="E22" s="1">
        <f>+(C22-C$7)/C$8</f>
        <v>28301.983435209364</v>
      </c>
      <c r="F22" s="1">
        <f>ROUND(2*E22,0)/2</f>
        <v>28302</v>
      </c>
      <c r="G22" s="1">
        <f>+C22-(C$7+F22*C$8)</f>
        <v>-1.789439999993192E-2</v>
      </c>
      <c r="K22" s="1">
        <f>+G22</f>
        <v>-1.789439999993192E-2</v>
      </c>
      <c r="O22" s="1">
        <f ca="1">+C$11+C$12*$F22</f>
        <v>-1.297270884737859E-2</v>
      </c>
      <c r="Q22" s="41">
        <f>+C22-15018.5</f>
        <v>42062.4902</v>
      </c>
    </row>
    <row r="23" spans="1:18" x14ac:dyDescent="0.2">
      <c r="A23" s="38" t="s">
        <v>48</v>
      </c>
      <c r="B23" s="39" t="s">
        <v>47</v>
      </c>
      <c r="C23" s="40">
        <v>57750.765319999773</v>
      </c>
      <c r="D23" s="40">
        <v>5.0000000000000001E-4</v>
      </c>
      <c r="E23" s="1">
        <f>+(C23-C$7)/C$8</f>
        <v>28921.992188599055</v>
      </c>
      <c r="F23" s="1">
        <f>ROUND(2*E23,0)/2</f>
        <v>28922</v>
      </c>
      <c r="G23" s="1">
        <f>+C23-(C$7+F23*C$8)</f>
        <v>-8.4384002257138491E-3</v>
      </c>
      <c r="K23" s="1">
        <f>+G23</f>
        <v>-8.4384002257138491E-3</v>
      </c>
      <c r="O23" s="1">
        <f ca="1">+C$11+C$12*$F23</f>
        <v>-1.3254585240566358E-2</v>
      </c>
      <c r="Q23" s="41">
        <f>+C23-15018.5</f>
        <v>42732.265319999773</v>
      </c>
    </row>
    <row r="24" spans="1:18" x14ac:dyDescent="0.2">
      <c r="Q24" s="41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2024-01-17T05:01:14Z</dcterms:created>
  <dcterms:modified xsi:type="dcterms:W3CDTF">2024-01-17T05:02:58Z</dcterms:modified>
</cp:coreProperties>
</file>