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2F6084BB-14C5-4FBE-A478-81E1FADFF32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/>
  <c r="G11" i="1"/>
  <c r="F11" i="1"/>
  <c r="Q23" i="1"/>
  <c r="Q22" i="1"/>
  <c r="C7" i="1"/>
  <c r="E23" i="1"/>
  <c r="F23" i="1"/>
  <c r="E15" i="1"/>
  <c r="C17" i="1"/>
  <c r="Q21" i="1"/>
  <c r="G21" i="1"/>
  <c r="H21" i="1"/>
  <c r="E22" i="1"/>
  <c r="F22" i="1"/>
  <c r="G22" i="1"/>
  <c r="G23" i="1"/>
  <c r="I23" i="1"/>
  <c r="I22" i="1"/>
  <c r="C11" i="1"/>
  <c r="C12" i="1"/>
  <c r="C16" i="1" l="1"/>
  <c r="D18" i="1" s="1"/>
  <c r="O22" i="1"/>
  <c r="O21" i="1"/>
  <c r="O23" i="1"/>
  <c r="C15" i="1"/>
  <c r="C18" i="1" l="1"/>
  <c r="E16" i="1"/>
  <c r="E17" i="1" s="1"/>
</calcChain>
</file>

<file path=xl/sharedStrings.xml><?xml version="1.0" encoding="utf-8"?>
<sst xmlns="http://schemas.openxmlformats.org/spreadsheetml/2006/main" count="47" uniqueCount="45">
  <si>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</si>
  <si>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</si>
  <si>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</si>
  <si>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</si>
  <si>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</si>
  <si>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</si>
  <si>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</si>
  <si>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</si>
  <si>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</si>
  <si>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</si>
  <si>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</si>
  <si>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</si>
  <si>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</si>
  <si>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</si>
  <si>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</si>
  <si>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</si>
  <si>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</si>
  <si>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</si>
  <si>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</si>
  <si>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</si>
  <si>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</si>
  <si>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</si>
  <si>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</si>
  <si>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</si>
  <si>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</si>
  <si>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</si>
  <si>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</si>
  <si>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</si>
  <si>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</si>
  <si>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</si>
  <si>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</si>
  <si>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</si>
  <si>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</si>
  <si>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</si>
  <si>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</si>
  <si>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</si>
  <si>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</si>
  <si>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</si>
  <si>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GT Vel / GSC 7686-1288</t>
  </si>
  <si>
    <t>VSX</t>
  </si>
  <si>
    <t>not avail.</t>
  </si>
  <si>
    <t>IBVS 5931</t>
  </si>
  <si>
    <t>II</t>
  </si>
  <si>
    <t>IBVS 5652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</si>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</sst>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indexed="6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2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14" fontId="14" fillId="0" borderId="0" xfId="0" applyNumberFormat="1" applyFont="1" applyAlignment="1"/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4" fillId="0" borderId="1" xfId="0" applyFont="1" applyBorder="1" applyAlignment="1"/>
    <xf numFmtId="0" fontId="14" fillId="0" borderId="6" xfId="0" applyFont="1" applyBorder="1" applyAlignment="1">
      <alignment horizontal="left"/>
    </xf>
    <xf numFmtId="0" fontId="16" fillId="2" borderId="6" xfId="0" applyFont="1" applyFill="1" applyBorder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GT Vel - O-C Diagr.</a:t>
            </a:r>
          </a:p>
        </c:rich>
      </c:tx>
      <c:layout>
        <c:manualLayout>
          <c:xMode val="edge"/>
          <c:yMode val="edge"/>
          <c:x val="0.3909774436090225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3308270676691731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2570.5</c:v>
                </c:pt>
                <c:pt idx="2">
                  <c:v>2181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-2.3350349999964237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6B-4B9D-A724-D70600B9ACF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2570.5</c:v>
                </c:pt>
                <c:pt idx="2">
                  <c:v>2181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0.44336499999917578</c:v>
                </c:pt>
                <c:pt idx="2">
                  <c:v>7.7330000000074506E-2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6B-4B9D-A724-D70600B9ACF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2570.5</c:v>
                </c:pt>
                <c:pt idx="2">
                  <c:v>2181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F6B-4B9D-A724-D70600B9ACF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2570.5</c:v>
                </c:pt>
                <c:pt idx="2">
                  <c:v>2181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F6B-4B9D-A724-D70600B9ACF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2570.5</c:v>
                </c:pt>
                <c:pt idx="2">
                  <c:v>2181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F6B-4B9D-A724-D70600B9ACF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2570.5</c:v>
                </c:pt>
                <c:pt idx="2">
                  <c:v>2181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F6B-4B9D-A724-D70600B9ACF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2570.5</c:v>
                </c:pt>
                <c:pt idx="2">
                  <c:v>2181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F6B-4B9D-A724-D70600B9ACF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2570.5</c:v>
                </c:pt>
                <c:pt idx="2">
                  <c:v>2181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-1.9718081707266015</c:v>
                </c:pt>
                <c:pt idx="1">
                  <c:v>0.44336499999917578</c:v>
                </c:pt>
                <c:pt idx="2">
                  <c:v>7.7330000000074506E-2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F6B-4B9D-A724-D70600B9A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5260800"/>
        <c:axId val="1"/>
      </c:scatterChart>
      <c:valAx>
        <c:axId val="635260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5260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308270676691728"/>
          <c:y val="0.92375366568914952"/>
          <c:w val="0.6736842105263158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149C5B8-E68F-C90D-F7AB-5110CF14A4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38</v>
      </c>
    </row>
    <row r="2" spans="1:7" x14ac:dyDescent="0.2">
      <c r="A2" t="s">
        <v>24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41689.08</v>
      </c>
      <c r="D4" s="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41689.08</v>
      </c>
    </row>
    <row r="8" spans="1:7" x14ac:dyDescent="0.2">
      <c r="A8" t="s">
        <v>3</v>
      </c>
      <c r="C8">
        <v>4.6700699999999999</v>
      </c>
      <c r="D8" t="s">
        <v>39</v>
      </c>
    </row>
    <row r="9" spans="1:7" x14ac:dyDescent="0.2">
      <c r="A9" s="11" t="s">
        <v>31</v>
      </c>
      <c r="B9" s="12"/>
      <c r="C9" s="13">
        <v>-9.5</v>
      </c>
      <c r="D9" s="12" t="s">
        <v>32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16</v>
      </c>
      <c r="B11" s="12"/>
      <c r="C11" s="24">
        <f ca="1">INTERCEPT(INDIRECT($G$11):G992,INDIRECT($F$11):F992)</f>
        <v>-1.9722780487753808</v>
      </c>
      <c r="D11" s="3"/>
      <c r="E11" s="12"/>
      <c r="F11" s="25" t="str">
        <f>"F"&amp;E19</f>
        <v>F22</v>
      </c>
      <c r="G11" s="26" t="str">
        <f>"G"&amp;E19</f>
        <v>G22</v>
      </c>
    </row>
    <row r="12" spans="1:7" x14ac:dyDescent="0.2">
      <c r="A12" s="12" t="s">
        <v>17</v>
      </c>
      <c r="B12" s="12"/>
      <c r="C12" s="24">
        <f ca="1">SLOPE(INDIRECT($G$11):G992,INDIRECT($F$11):F992)</f>
        <v>9.3975609755866821E-4</v>
      </c>
      <c r="D12" s="3"/>
      <c r="E12" s="12"/>
    </row>
    <row r="13" spans="1:7" x14ac:dyDescent="0.2">
      <c r="A13" s="12" t="s">
        <v>19</v>
      </c>
      <c r="B13" s="12"/>
      <c r="C13" s="3" t="s">
        <v>14</v>
      </c>
      <c r="D13" s="3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14" t="s">
        <v>18</v>
      </c>
      <c r="B15" s="12"/>
      <c r="C15" s="15">
        <f ca="1">(C7+C11)+(C8+C12)*INT(MAX(F21:F3533))</f>
        <v>53691.602795121958</v>
      </c>
      <c r="D15" s="16" t="s">
        <v>33</v>
      </c>
      <c r="E15" s="17">
        <f ca="1">TODAY()+15018.5-B9/24</f>
        <v>60326.5</v>
      </c>
    </row>
    <row r="16" spans="1:7" x14ac:dyDescent="0.2">
      <c r="A16" s="18" t="s">
        <v>4</v>
      </c>
      <c r="B16" s="12"/>
      <c r="C16" s="19">
        <f ca="1">+C8+C12</f>
        <v>4.6710097560975585</v>
      </c>
      <c r="D16" s="16" t="s">
        <v>34</v>
      </c>
      <c r="E16" s="17">
        <f ca="1">ROUND(2*(E15-C15)/C16,0)/2+1</f>
        <v>1421.5</v>
      </c>
    </row>
    <row r="17" spans="1:19" ht="13.5" thickBot="1" x14ac:dyDescent="0.25">
      <c r="A17" s="16" t="s">
        <v>30</v>
      </c>
      <c r="B17" s="12"/>
      <c r="C17" s="12">
        <f>COUNT(C21:C2191)</f>
        <v>3</v>
      </c>
      <c r="D17" s="16" t="s">
        <v>35</v>
      </c>
      <c r="E17" s="20">
        <f ca="1">+C15+C16*E16-15018.5-C9/24</f>
        <v>45313.338996747974</v>
      </c>
    </row>
    <row r="18" spans="1:19" ht="14.25" thickTop="1" thickBot="1" x14ac:dyDescent="0.25">
      <c r="A18" s="18" t="s">
        <v>5</v>
      </c>
      <c r="B18" s="12"/>
      <c r="C18" s="21">
        <f ca="1">+C15</f>
        <v>53691.602795121958</v>
      </c>
      <c r="D18" s="22">
        <f ca="1">+C16</f>
        <v>4.6710097560975585</v>
      </c>
      <c r="E18" s="23" t="s">
        <v>36</v>
      </c>
    </row>
    <row r="19" spans="1:19" ht="13.5" thickTop="1" x14ac:dyDescent="0.2">
      <c r="A19" s="27" t="s">
        <v>37</v>
      </c>
      <c r="E19" s="28">
        <v>22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29</v>
      </c>
      <c r="J20" s="7" t="s">
        <v>44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19" x14ac:dyDescent="0.2">
      <c r="A21" s="29" t="s">
        <v>12</v>
      </c>
      <c r="B21" s="29"/>
      <c r="C21" s="30">
        <v>41689.08</v>
      </c>
      <c r="D21" s="37" t="s">
        <v>14</v>
      </c>
      <c r="E21" s="38">
        <f>+(C21-C$7)/C$8+0.5</f>
        <v>0.5</v>
      </c>
      <c r="F21" s="29">
        <f>ROUND(2*E21,0)/2</f>
        <v>0.5</v>
      </c>
      <c r="G21" s="29">
        <f>+C21-(C$7+F21*C$8)</f>
        <v>-2.3350349999964237</v>
      </c>
      <c r="H21" s="29">
        <f>+G21</f>
        <v>-2.3350349999964237</v>
      </c>
      <c r="I21" s="29"/>
      <c r="J21" s="29"/>
      <c r="K21" s="29"/>
      <c r="L21" s="29"/>
      <c r="M21" s="29"/>
      <c r="N21" s="29"/>
      <c r="O21" s="29">
        <f ca="1">+C$11+C$12*$F21</f>
        <v>-1.9718081707266015</v>
      </c>
      <c r="P21" s="29"/>
      <c r="Q21" s="31">
        <f>+C21-15018.5</f>
        <v>26670.58</v>
      </c>
      <c r="R21" s="29"/>
      <c r="S21" s="29"/>
    </row>
    <row r="22" spans="1:19" x14ac:dyDescent="0.2">
      <c r="A22" s="32" t="s">
        <v>41</v>
      </c>
      <c r="B22" s="33" t="s">
        <v>42</v>
      </c>
      <c r="C22" s="32">
        <v>53693.938300000002</v>
      </c>
      <c r="D22" s="35">
        <v>4.0000000000000002E-4</v>
      </c>
      <c r="E22" s="36">
        <f>+(C22-C$7)/C$8</f>
        <v>2570.5949375491159</v>
      </c>
      <c r="F22" s="29">
        <f>ROUND(2*E22,0)/2</f>
        <v>2570.5</v>
      </c>
      <c r="G22" s="29">
        <f>+C22-(C$7+F22*C$8)</f>
        <v>0.44336499999917578</v>
      </c>
      <c r="H22" s="29"/>
      <c r="I22" s="29">
        <f>+G22</f>
        <v>0.44336499999917578</v>
      </c>
      <c r="J22" s="29"/>
      <c r="K22" s="29"/>
      <c r="L22" s="29"/>
      <c r="M22" s="29"/>
      <c r="N22" s="29"/>
      <c r="O22" s="29">
        <f ca="1">+C$11+C$12*$F22</f>
        <v>0.44336499999917578</v>
      </c>
      <c r="P22" s="29"/>
      <c r="Q22" s="31">
        <f>+C22-15018.5</f>
        <v>38675.438300000002</v>
      </c>
      <c r="R22" s="29"/>
      <c r="S22" s="29"/>
    </row>
    <row r="23" spans="1:19" x14ac:dyDescent="0.2">
      <c r="A23" s="34" t="s">
        <v>43</v>
      </c>
      <c r="B23" s="29"/>
      <c r="C23" s="30">
        <v>51874.58</v>
      </c>
      <c r="D23" s="30"/>
      <c r="E23" s="29">
        <f>+(C23-C$7)/C$8</f>
        <v>2181.0165586383073</v>
      </c>
      <c r="F23" s="29">
        <f>ROUND(2*E23,0)/2</f>
        <v>2181</v>
      </c>
      <c r="G23" s="29">
        <f>+C23-(C$7+F23*C$8)</f>
        <v>7.7330000000074506E-2</v>
      </c>
      <c r="H23" s="29"/>
      <c r="I23" s="29">
        <f>+G23</f>
        <v>7.7330000000074506E-2</v>
      </c>
      <c r="J23" s="29"/>
      <c r="K23" s="29"/>
      <c r="L23" s="29"/>
      <c r="M23" s="29"/>
      <c r="N23" s="29"/>
      <c r="O23" s="29">
        <f ca="1">+C$11+C$12*$F23</f>
        <v>7.7330000000074506E-2</v>
      </c>
      <c r="P23" s="29"/>
      <c r="Q23" s="31">
        <f>+C23-15018.5</f>
        <v>36856.080000000002</v>
      </c>
      <c r="R23" s="29"/>
      <c r="S23" s="29"/>
    </row>
    <row r="24" spans="1:19" x14ac:dyDescent="0.2">
      <c r="A24" s="29"/>
      <c r="B24" s="29"/>
      <c r="C24" s="30"/>
      <c r="D24" s="30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31"/>
      <c r="R24" s="29"/>
      <c r="S24" s="29"/>
    </row>
    <row r="25" spans="1:19" x14ac:dyDescent="0.2">
      <c r="A25" s="29"/>
      <c r="B25" s="29"/>
      <c r="C25" s="30"/>
      <c r="D25" s="30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31"/>
      <c r="R25" s="29"/>
      <c r="S25" s="29"/>
    </row>
    <row r="26" spans="1:19" x14ac:dyDescent="0.2">
      <c r="A26" s="29"/>
      <c r="B26" s="29"/>
      <c r="C26" s="30"/>
      <c r="D26" s="30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31"/>
      <c r="R26" s="29"/>
      <c r="S26" s="29"/>
    </row>
    <row r="27" spans="1:19" x14ac:dyDescent="0.2">
      <c r="C27" s="10"/>
      <c r="D27" s="10"/>
      <c r="Q27" s="2"/>
    </row>
    <row r="28" spans="1:19" x14ac:dyDescent="0.2">
      <c r="C28" s="10"/>
      <c r="D28" s="10"/>
      <c r="Q28" s="2"/>
    </row>
    <row r="29" spans="1:19" x14ac:dyDescent="0.2">
      <c r="C29" s="10"/>
      <c r="D29" s="10"/>
      <c r="Q29" s="2"/>
    </row>
    <row r="30" spans="1:19" x14ac:dyDescent="0.2">
      <c r="C30" s="10"/>
      <c r="D30" s="10"/>
      <c r="Q30" s="2"/>
    </row>
    <row r="31" spans="1:19" x14ac:dyDescent="0.2">
      <c r="C31" s="10"/>
      <c r="D31" s="10"/>
      <c r="Q31" s="2"/>
    </row>
    <row r="32" spans="1:19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2024-01-17T05:10:33Z</dcterms:modified>
</cp:coreProperties>
</file>