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0FA4FD0-CD60-4A3A-857C-EE8F8B43B24E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C14" i="1" l="1"/>
  <c r="C13" i="1"/>
  <c r="D14" i="1"/>
  <c r="D13" i="1"/>
  <c r="Q22" i="1"/>
  <c r="Q23" i="1"/>
  <c r="Q24" i="1"/>
  <c r="Q25" i="1"/>
  <c r="Q26" i="1"/>
  <c r="Q27" i="1"/>
  <c r="Q28" i="1"/>
  <c r="Q29" i="1"/>
  <c r="C7" i="1"/>
  <c r="E22" i="1"/>
  <c r="F22" i="1"/>
  <c r="C8" i="1"/>
  <c r="E21" i="1"/>
  <c r="F21" i="1"/>
  <c r="F12" i="1"/>
  <c r="C17" i="1"/>
  <c r="Q21" i="1"/>
  <c r="E27" i="1"/>
  <c r="F27" i="1"/>
  <c r="G27" i="1"/>
  <c r="E29" i="1"/>
  <c r="F29" i="1"/>
  <c r="G29" i="1"/>
  <c r="E25" i="1"/>
  <c r="F25" i="1"/>
  <c r="G25" i="1"/>
  <c r="E23" i="1"/>
  <c r="F23" i="1"/>
  <c r="G23" i="1"/>
  <c r="G21" i="1"/>
  <c r="G22" i="1"/>
  <c r="E28" i="1"/>
  <c r="F28" i="1"/>
  <c r="G28" i="1"/>
  <c r="E26" i="1"/>
  <c r="F26" i="1"/>
  <c r="G26" i="1"/>
  <c r="E24" i="1"/>
  <c r="F24" i="1"/>
  <c r="G24" i="1"/>
  <c r="H21" i="1"/>
  <c r="R21" i="1"/>
  <c r="I24" i="1"/>
  <c r="S24" i="1"/>
  <c r="I26" i="1"/>
  <c r="R26" i="1"/>
  <c r="S25" i="1"/>
  <c r="I25" i="1"/>
  <c r="I28" i="1"/>
  <c r="R28" i="1"/>
  <c r="S29" i="1"/>
  <c r="I29" i="1"/>
  <c r="R23" i="1"/>
  <c r="I23" i="1"/>
  <c r="I22" i="1"/>
  <c r="S22" i="1"/>
  <c r="R27" i="1"/>
  <c r="I27" i="1"/>
  <c r="S19" i="1"/>
  <c r="E19" i="1"/>
  <c r="R19" i="1"/>
  <c r="E18" i="1"/>
  <c r="D12" i="1"/>
  <c r="D11" i="1"/>
  <c r="C11" i="1"/>
  <c r="D15" i="1" l="1"/>
  <c r="C19" i="1" s="1"/>
  <c r="P22" i="1"/>
  <c r="P29" i="1"/>
  <c r="P21" i="1"/>
  <c r="P24" i="1"/>
  <c r="P25" i="1"/>
  <c r="P27" i="1"/>
  <c r="P28" i="1"/>
  <c r="P23" i="1"/>
  <c r="P26" i="1"/>
  <c r="D16" i="1"/>
  <c r="D19" i="1" s="1"/>
  <c r="F13" i="1"/>
  <c r="C12" i="1"/>
  <c r="C16" i="1" l="1"/>
  <c r="D18" i="1" s="1"/>
  <c r="O24" i="1"/>
  <c r="O26" i="1"/>
  <c r="O29" i="1"/>
  <c r="C15" i="1"/>
  <c r="O21" i="1"/>
  <c r="O27" i="1"/>
  <c r="O23" i="1"/>
  <c r="O28" i="1"/>
  <c r="O22" i="1"/>
  <c r="O25" i="1"/>
  <c r="C18" i="1" l="1"/>
  <c r="F14" i="1"/>
  <c r="F15" i="1" s="1"/>
</calcChain>
</file>

<file path=xl/sharedStrings.xml><?xml version="1.0" encoding="utf-8"?>
<sst xmlns="http://schemas.openxmlformats.org/spreadsheetml/2006/main" count="72" uniqueCount="50">
  <si>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</si>
  <si>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</si>
  <si>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</si>
  <si>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</si>
  <si>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</si>
  <si>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</si>
  <si>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</si>
  <si>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</si>
  <si>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</si>
  <si>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</si>
  <si>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</si>
  <si>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</si>
  <si>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</si>
  <si>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</si>
  <si>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</si>
  <si>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</si>
  <si>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</si>
  <si>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</si>
  <si>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</si>
  <si>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</si>
  <si>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</si>
  <si>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</si>
  <si>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</si>
  <si>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</si>
  <si>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</si>
  <si>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</si>
  <si>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S4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</si>
  <si>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</si>
  <si>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</si>
  <si>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</si>
  <si>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</si>
  <si>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</si>
  <si>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</si>
  <si>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</si>
  <si>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</si>
  <si>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</si>
  <si>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</si>
  <si>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</si>
  <si>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</si>
  <si>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</si>
  <si>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</si>
  <si>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EA</t>
  </si>
  <si>
    <t>Kreiner</t>
  </si>
  <si>
    <t>IBVS 4999</t>
  </si>
  <si>
    <t>II</t>
  </si>
  <si>
    <t>CCD</t>
  </si>
  <si>
    <t>I</t>
  </si>
  <si>
    <t>vis</t>
  </si>
  <si>
    <t>delta Vel / GSC 8573-3571</t>
  </si>
  <si>
    <t>IBVS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</si>
</sst>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del Vel - O-C Diagr.</a:t>
            </a:r>
          </a:p>
        </c:rich>
      </c:tx>
      <c:layout>
        <c:manualLayout>
          <c:xMode val="edge"/>
          <c:yMode val="edge"/>
          <c:x val="0.3806451612903225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58064516129032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-103.5</c:v>
                </c:pt>
                <c:pt idx="2">
                  <c:v>-42</c:v>
                </c:pt>
                <c:pt idx="3">
                  <c:v>-37.5</c:v>
                </c:pt>
                <c:pt idx="4">
                  <c:v>-30.5</c:v>
                </c:pt>
                <c:pt idx="5">
                  <c:v>-27</c:v>
                </c:pt>
                <c:pt idx="6">
                  <c:v>-18</c:v>
                </c:pt>
                <c:pt idx="7">
                  <c:v>-15</c:v>
                </c:pt>
                <c:pt idx="8">
                  <c:v>-14.5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11-46D2-8405-FB290964432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-103.5</c:v>
                </c:pt>
                <c:pt idx="2">
                  <c:v>-42</c:v>
                </c:pt>
                <c:pt idx="3">
                  <c:v>-37.5</c:v>
                </c:pt>
                <c:pt idx="4">
                  <c:v>-30.5</c:v>
                </c:pt>
                <c:pt idx="5">
                  <c:v>-27</c:v>
                </c:pt>
                <c:pt idx="6">
                  <c:v>-18</c:v>
                </c:pt>
                <c:pt idx="7">
                  <c:v>-15</c:v>
                </c:pt>
                <c:pt idx="8">
                  <c:v>-14.5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1">
                  <c:v>-3.1017599999977392</c:v>
                </c:pt>
                <c:pt idx="2">
                  <c:v>4.0280000001075678E-2</c:v>
                </c:pt>
                <c:pt idx="3">
                  <c:v>-2.9304000000047381</c:v>
                </c:pt>
                <c:pt idx="4">
                  <c:v>-2.8736799999969662</c:v>
                </c:pt>
                <c:pt idx="5">
                  <c:v>-4.5319999997445848E-2</c:v>
                </c:pt>
                <c:pt idx="6">
                  <c:v>6.3319999993836973E-2</c:v>
                </c:pt>
                <c:pt idx="7">
                  <c:v>-3.3800000004703179E-2</c:v>
                </c:pt>
                <c:pt idx="8">
                  <c:v>-3.2583200000008219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11-46D2-8405-FB290964432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-103.5</c:v>
                </c:pt>
                <c:pt idx="2">
                  <c:v>-42</c:v>
                </c:pt>
                <c:pt idx="3">
                  <c:v>-37.5</c:v>
                </c:pt>
                <c:pt idx="4">
                  <c:v>-30.5</c:v>
                </c:pt>
                <c:pt idx="5">
                  <c:v>-27</c:v>
                </c:pt>
                <c:pt idx="6">
                  <c:v>-18</c:v>
                </c:pt>
                <c:pt idx="7">
                  <c:v>-15</c:v>
                </c:pt>
                <c:pt idx="8">
                  <c:v>-14.5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11-46D2-8405-FB290964432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-103.5</c:v>
                </c:pt>
                <c:pt idx="2">
                  <c:v>-42</c:v>
                </c:pt>
                <c:pt idx="3">
                  <c:v>-37.5</c:v>
                </c:pt>
                <c:pt idx="4">
                  <c:v>-30.5</c:v>
                </c:pt>
                <c:pt idx="5">
                  <c:v>-27</c:v>
                </c:pt>
                <c:pt idx="6">
                  <c:v>-18</c:v>
                </c:pt>
                <c:pt idx="7">
                  <c:v>-15</c:v>
                </c:pt>
                <c:pt idx="8">
                  <c:v>-14.5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11-46D2-8405-FB290964432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-103.5</c:v>
                </c:pt>
                <c:pt idx="2">
                  <c:v>-42</c:v>
                </c:pt>
                <c:pt idx="3">
                  <c:v>-37.5</c:v>
                </c:pt>
                <c:pt idx="4">
                  <c:v>-30.5</c:v>
                </c:pt>
                <c:pt idx="5">
                  <c:v>-27</c:v>
                </c:pt>
                <c:pt idx="6">
                  <c:v>-18</c:v>
                </c:pt>
                <c:pt idx="7">
                  <c:v>-15</c:v>
                </c:pt>
                <c:pt idx="8">
                  <c:v>-14.5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11-46D2-8405-FB290964432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-103.5</c:v>
                </c:pt>
                <c:pt idx="2">
                  <c:v>-42</c:v>
                </c:pt>
                <c:pt idx="3">
                  <c:v>-37.5</c:v>
                </c:pt>
                <c:pt idx="4">
                  <c:v>-30.5</c:v>
                </c:pt>
                <c:pt idx="5">
                  <c:v>-27</c:v>
                </c:pt>
                <c:pt idx="6">
                  <c:v>-18</c:v>
                </c:pt>
                <c:pt idx="7">
                  <c:v>-15</c:v>
                </c:pt>
                <c:pt idx="8">
                  <c:v>-14.5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11-46D2-8405-FB290964432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-103.5</c:v>
                </c:pt>
                <c:pt idx="2">
                  <c:v>-42</c:v>
                </c:pt>
                <c:pt idx="3">
                  <c:v>-37.5</c:v>
                </c:pt>
                <c:pt idx="4">
                  <c:v>-30.5</c:v>
                </c:pt>
                <c:pt idx="5">
                  <c:v>-27</c:v>
                </c:pt>
                <c:pt idx="6">
                  <c:v>-18</c:v>
                </c:pt>
                <c:pt idx="7">
                  <c:v>-15</c:v>
                </c:pt>
                <c:pt idx="8">
                  <c:v>-14.5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11-46D2-8405-FB2909644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3040"/>
        <c:axId val="1"/>
      </c:scatterChart>
      <c:valAx>
        <c:axId val="304903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3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677419354838712"/>
          <c:y val="0.92097264437689974"/>
          <c:w val="0.3951612903225806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del Vel - Prim. O-C Diagr.</a:t>
            </a:r>
          </a:p>
        </c:rich>
      </c:tx>
      <c:layout>
        <c:manualLayout>
          <c:xMode val="edge"/>
          <c:yMode val="edge"/>
          <c:x val="0.3035345218022383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92315501067418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-103.5</c:v>
                </c:pt>
                <c:pt idx="2">
                  <c:v>-42</c:v>
                </c:pt>
                <c:pt idx="3">
                  <c:v>-37.5</c:v>
                </c:pt>
                <c:pt idx="4">
                  <c:v>-30.5</c:v>
                </c:pt>
                <c:pt idx="5">
                  <c:v>-27</c:v>
                </c:pt>
                <c:pt idx="6">
                  <c:v>-18</c:v>
                </c:pt>
                <c:pt idx="7">
                  <c:v>-15</c:v>
                </c:pt>
                <c:pt idx="8">
                  <c:v>-14.5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2">
                  <c:v>4.0280000001075678E-2</c:v>
                </c:pt>
                <c:pt idx="5">
                  <c:v>-4.5319999997445848E-2</c:v>
                </c:pt>
                <c:pt idx="6">
                  <c:v>6.3319999993836973E-2</c:v>
                </c:pt>
                <c:pt idx="7">
                  <c:v>-3.3800000004703179E-2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00-4D53-AAC6-BB4F546C1DD1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-103.5</c:v>
                </c:pt>
                <c:pt idx="2">
                  <c:v>-42</c:v>
                </c:pt>
                <c:pt idx="3">
                  <c:v>-37.5</c:v>
                </c:pt>
                <c:pt idx="4">
                  <c:v>-30.5</c:v>
                </c:pt>
                <c:pt idx="5">
                  <c:v>-27</c:v>
                </c:pt>
                <c:pt idx="6">
                  <c:v>-18</c:v>
                </c:pt>
                <c:pt idx="7">
                  <c:v>-15</c:v>
                </c:pt>
                <c:pt idx="8">
                  <c:v>-14.5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-2.1440816335115766E-2</c:v>
                </c:pt>
                <c:pt idx="1">
                  <c:v>9.042367348830542E-2</c:v>
                </c:pt>
                <c:pt idx="2">
                  <c:v>2.3953469390330513E-2</c:v>
                </c:pt>
                <c:pt idx="3">
                  <c:v>1.9089795919746983E-2</c:v>
                </c:pt>
                <c:pt idx="4">
                  <c:v>1.1524081632172608E-2</c:v>
                </c:pt>
                <c:pt idx="5">
                  <c:v>7.7412244883854169E-3</c:v>
                </c:pt>
                <c:pt idx="6">
                  <c:v>-1.9861224527816454E-3</c:v>
                </c:pt>
                <c:pt idx="7">
                  <c:v>-5.2285714331706638E-3</c:v>
                </c:pt>
                <c:pt idx="8">
                  <c:v>-5.7689795965688365E-3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00-4D53-AAC6-BB4F546C1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5840"/>
        <c:axId val="1"/>
      </c:scatterChart>
      <c:valAx>
        <c:axId val="30489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1459666813996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del Vel - Sec. O-C Diagr.</a:t>
            </a:r>
          </a:p>
        </c:rich>
      </c:tx>
      <c:layout>
        <c:manualLayout>
          <c:xMode val="edge"/>
          <c:yMode val="edge"/>
          <c:x val="0.3122451122181155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7347015851219558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-103.5</c:v>
                </c:pt>
                <c:pt idx="2">
                  <c:v>-42</c:v>
                </c:pt>
                <c:pt idx="3">
                  <c:v>-37.5</c:v>
                </c:pt>
                <c:pt idx="4">
                  <c:v>-30.5</c:v>
                </c:pt>
                <c:pt idx="5">
                  <c:v>-27</c:v>
                </c:pt>
                <c:pt idx="6">
                  <c:v>-18</c:v>
                </c:pt>
                <c:pt idx="7">
                  <c:v>-15</c:v>
                </c:pt>
                <c:pt idx="8">
                  <c:v>-14.5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-3.1017599999977392</c:v>
                </c:pt>
                <c:pt idx="3">
                  <c:v>-2.9304000000047381</c:v>
                </c:pt>
                <c:pt idx="4">
                  <c:v>-2.8736799999969662</c:v>
                </c:pt>
                <c:pt idx="8">
                  <c:v>-3.2583200000008219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6B-4CDC-B70E-37412076A579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-103.5</c:v>
                </c:pt>
                <c:pt idx="2">
                  <c:v>-42</c:v>
                </c:pt>
                <c:pt idx="3">
                  <c:v>-37.5</c:v>
                </c:pt>
                <c:pt idx="4">
                  <c:v>-30.5</c:v>
                </c:pt>
                <c:pt idx="5">
                  <c:v>-27</c:v>
                </c:pt>
                <c:pt idx="6">
                  <c:v>-18</c:v>
                </c:pt>
                <c:pt idx="7">
                  <c:v>-15</c:v>
                </c:pt>
                <c:pt idx="8">
                  <c:v>-14.5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-3.0392082429516805</c:v>
                </c:pt>
                <c:pt idx="1">
                  <c:v>-3.0432853796077652</c:v>
                </c:pt>
                <c:pt idx="2">
                  <c:v>-3.0408627331889324</c:v>
                </c:pt>
                <c:pt idx="3">
                  <c:v>-3.040685466377798</c:v>
                </c:pt>
                <c:pt idx="4">
                  <c:v>-3.040409718004923</c:v>
                </c:pt>
                <c:pt idx="5">
                  <c:v>-3.040271843818485</c:v>
                </c:pt>
                <c:pt idx="6">
                  <c:v>-3.0399173101962171</c:v>
                </c:pt>
                <c:pt idx="7">
                  <c:v>-3.0397991323221274</c:v>
                </c:pt>
                <c:pt idx="8">
                  <c:v>-3.0397794360097792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6B-4CDC-B70E-37412076A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5176"/>
        <c:axId val="1"/>
      </c:scatterChart>
      <c:valAx>
        <c:axId val="395995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718570892924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5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83716321174139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209549</xdr:colOff>
      <xdr:row>0</xdr:row>
      <xdr:rowOff>47625</xdr:rowOff>
    </xdr:from>
    <xdr:to>
      <xdr:col>18</xdr:col>
      <xdr:colOff>561974</xdr:colOff>
      <xdr:row>18</xdr:row>
      <xdr:rowOff>95250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F34D623E-0E5E-4C34-4A3F-656FF27A7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47624</xdr:rowOff>
    </xdr:from>
    <xdr:to>
      <xdr:col>12</xdr:col>
      <xdr:colOff>533400</xdr:colOff>
      <xdr:row>19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4004AA-7F18-09FA-BCCF-4740C4FC2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20</xdr:row>
      <xdr:rowOff>38101</xdr:rowOff>
    </xdr:from>
    <xdr:to>
      <xdr:col>12</xdr:col>
      <xdr:colOff>523875</xdr:colOff>
      <xdr:row>38</xdr:row>
      <xdr:rowOff>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6118F33-9D51-0EF3-CF85-FD37511AC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7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17</v>
      </c>
      <c r="B2" t="s">
        <v>41</v>
      </c>
      <c r="C2" s="11"/>
      <c r="D2" s="11"/>
    </row>
    <row r="3" spans="1:6" ht="13.5" thickBot="1" x14ac:dyDescent="0.25"/>
    <row r="4" spans="1:6" ht="14.25" thickTop="1" thickBot="1" x14ac:dyDescent="0.25">
      <c r="A4" s="6" t="s">
        <v>0</v>
      </c>
      <c r="C4" s="33">
        <v>52527.719400000002</v>
      </c>
      <c r="D4" s="34">
        <v>45.149039999999999</v>
      </c>
    </row>
    <row r="5" spans="1:6" ht="13.5" thickTop="1" x14ac:dyDescent="0.2">
      <c r="A5" s="26" t="s">
        <v>33</v>
      </c>
      <c r="B5" s="20"/>
      <c r="C5" s="27">
        <v>-9.5</v>
      </c>
      <c r="D5" s="20" t="s">
        <v>34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52527.719400000002</v>
      </c>
    </row>
    <row r="8" spans="1:6" x14ac:dyDescent="0.2">
      <c r="A8" t="s">
        <v>3</v>
      </c>
      <c r="C8">
        <f>D4</f>
        <v>45.149039999999999</v>
      </c>
    </row>
    <row r="9" spans="1:6" x14ac:dyDescent="0.2">
      <c r="A9" s="18" t="s">
        <v>30</v>
      </c>
      <c r="B9" s="18"/>
      <c r="C9" s="19">
        <v>22</v>
      </c>
      <c r="D9" s="19">
        <v>22</v>
      </c>
    </row>
    <row r="10" spans="1:6" ht="13.5" thickBot="1" x14ac:dyDescent="0.25">
      <c r="A10" s="20"/>
      <c r="B10" s="20"/>
      <c r="C10" s="5" t="s">
        <v>19</v>
      </c>
      <c r="D10" s="5" t="s">
        <v>20</v>
      </c>
    </row>
    <row r="11" spans="1:6" x14ac:dyDescent="0.2">
      <c r="A11" s="20" t="s">
        <v>14</v>
      </c>
      <c r="B11" s="20"/>
      <c r="C11" s="21">
        <f ca="1">INTERCEPT(INDIRECT(C14):R$935,INDIRECT(C13):$F$935)</f>
        <v>-2.1440816335115766E-2</v>
      </c>
      <c r="D11" s="21">
        <f ca="1">INTERCEPT(INDIRECT(D14):S$935,INDIRECT(D13):$F$935)</f>
        <v>-3.0392082429516805</v>
      </c>
      <c r="E11" s="18" t="s">
        <v>36</v>
      </c>
      <c r="F11">
        <v>1</v>
      </c>
    </row>
    <row r="12" spans="1:6" x14ac:dyDescent="0.2">
      <c r="A12" s="20" t="s">
        <v>15</v>
      </c>
      <c r="B12" s="20"/>
      <c r="C12" s="21">
        <f ca="1">SLOPE(INDIRECT(C14):R$935,INDIRECT(C13):$F$935)</f>
        <v>-1.0808163267963401E-3</v>
      </c>
      <c r="D12" s="21">
        <f ca="1">SLOPE(INDIRECT(D14):S$935,INDIRECT(D13):$F$935)</f>
        <v>3.9392624696471206E-5</v>
      </c>
      <c r="E12" s="18" t="s">
        <v>37</v>
      </c>
      <c r="F12" s="28">
        <f ca="1">NOW()+15018.5+$C$5/24</f>
        <v>60326.746415162037</v>
      </c>
    </row>
    <row r="13" spans="1:6" x14ac:dyDescent="0.2">
      <c r="A13" s="18" t="s">
        <v>31</v>
      </c>
      <c r="B13" s="18"/>
      <c r="C13" s="19" t="str">
        <f>"F"&amp;C9</f>
        <v>F22</v>
      </c>
      <c r="D13" s="19" t="str">
        <f>"F"&amp;D9</f>
        <v>F22</v>
      </c>
      <c r="E13" s="18" t="s">
        <v>38</v>
      </c>
      <c r="F13" s="28">
        <f ca="1">ROUND(2*(F12-$C$7)/$C$8,0)/2+F11</f>
        <v>173.5</v>
      </c>
    </row>
    <row r="14" spans="1:6" x14ac:dyDescent="0.2">
      <c r="A14" s="18" t="s">
        <v>32</v>
      </c>
      <c r="B14" s="18"/>
      <c r="C14" s="19" t="str">
        <f>"R"&amp;C9</f>
        <v>R22</v>
      </c>
      <c r="D14" s="19" t="str">
        <f>"S"&amp;D9</f>
        <v>S22</v>
      </c>
      <c r="E14" s="18" t="s">
        <v>39</v>
      </c>
      <c r="F14" s="29">
        <f ca="1">ROUND(2*(F12-$C$15)/$C$16,0)/2+F11</f>
        <v>173.5</v>
      </c>
    </row>
    <row r="15" spans="1:6" x14ac:dyDescent="0.2">
      <c r="A15" s="22" t="s">
        <v>16</v>
      </c>
      <c r="B15" s="20"/>
      <c r="C15" s="23">
        <f ca="1">($C7+C11)+($C8+C12)*INT(MAX($F21:$F3533))</f>
        <v>52527.697959183664</v>
      </c>
      <c r="D15" s="23">
        <f ca="1">($C7+D11)+($C8+D12)*INT(MAX($F21:$F3533))</f>
        <v>52524.680191757048</v>
      </c>
      <c r="E15" s="18" t="s">
        <v>40</v>
      </c>
      <c r="F15" s="30">
        <f ca="1">+$C$15+$C$16*F14-15018.5-$C$5/24</f>
        <v>45342.764710884301</v>
      </c>
    </row>
    <row r="16" spans="1:6" x14ac:dyDescent="0.2">
      <c r="A16" s="24" t="s">
        <v>4</v>
      </c>
      <c r="B16" s="20"/>
      <c r="C16" s="25">
        <f ca="1">+$C8+C12</f>
        <v>45.147959183673201</v>
      </c>
      <c r="D16" s="21">
        <f ca="1">+$C8+D12</f>
        <v>45.149079392624699</v>
      </c>
      <c r="E16" s="31"/>
      <c r="F16" s="31" t="s">
        <v>35</v>
      </c>
    </row>
    <row r="17" spans="1:19" ht="13.5" thickBot="1" x14ac:dyDescent="0.25">
      <c r="A17" s="17" t="s">
        <v>29</v>
      </c>
      <c r="C17">
        <f>COUNT(C21:C1247)</f>
        <v>9</v>
      </c>
    </row>
    <row r="18" spans="1:19" ht="14.25" thickTop="1" thickBot="1" x14ac:dyDescent="0.25">
      <c r="A18" s="6" t="s">
        <v>22</v>
      </c>
      <c r="C18" s="3">
        <f ca="1">+C15</f>
        <v>52527.697959183664</v>
      </c>
      <c r="D18" s="4">
        <f ca="1">+C16</f>
        <v>45.147959183673201</v>
      </c>
      <c r="E18" s="32">
        <f>R19</f>
        <v>5</v>
      </c>
    </row>
    <row r="19" spans="1:19" ht="14.25" thickTop="1" thickBot="1" x14ac:dyDescent="0.25">
      <c r="A19" s="6" t="s">
        <v>23</v>
      </c>
      <c r="C19" s="3">
        <f ca="1">+D15</f>
        <v>52524.680191757048</v>
      </c>
      <c r="D19" s="4">
        <f ca="1">+D16</f>
        <v>45.149079392624699</v>
      </c>
      <c r="E19" s="32">
        <f>S19</f>
        <v>4</v>
      </c>
      <c r="R19">
        <f>COUNT(R21:R322)</f>
        <v>5</v>
      </c>
      <c r="S19">
        <f>COUNT(S21:S322)</f>
        <v>4</v>
      </c>
    </row>
    <row r="20" spans="1:19" ht="14.25" thickTop="1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11</v>
      </c>
      <c r="I20" s="8" t="s">
        <v>49</v>
      </c>
      <c r="J20" s="8" t="s">
        <v>45</v>
      </c>
      <c r="K20" s="8" t="s">
        <v>26</v>
      </c>
      <c r="L20" s="8" t="s">
        <v>27</v>
      </c>
      <c r="M20" s="8" t="s">
        <v>18</v>
      </c>
      <c r="N20" s="8" t="s">
        <v>21</v>
      </c>
      <c r="O20" s="8" t="s">
        <v>24</v>
      </c>
      <c r="P20" s="7" t="s">
        <v>25</v>
      </c>
      <c r="Q20" s="5" t="s">
        <v>13</v>
      </c>
      <c r="R20" s="9" t="s">
        <v>19</v>
      </c>
      <c r="S20" s="9" t="s">
        <v>20</v>
      </c>
    </row>
    <row r="21" spans="1:19" x14ac:dyDescent="0.2">
      <c r="A21" t="s">
        <v>42</v>
      </c>
      <c r="C21" s="13">
        <v>52527.719400000002</v>
      </c>
      <c r="D21" s="13" t="s">
        <v>28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-2.1440816335115766E-2</v>
      </c>
      <c r="P21">
        <f ca="1">+D$11+D$12*$F21</f>
        <v>-3.0392082429516805</v>
      </c>
      <c r="Q21" s="2">
        <f>+C21-15018.5</f>
        <v>37509.219400000002</v>
      </c>
      <c r="R21">
        <f>G21</f>
        <v>0</v>
      </c>
    </row>
    <row r="22" spans="1:19" x14ac:dyDescent="0.2">
      <c r="A22" s="35" t="s">
        <v>43</v>
      </c>
      <c r="B22" s="36" t="s">
        <v>44</v>
      </c>
      <c r="C22" s="35">
        <v>47851.692000000003</v>
      </c>
      <c r="D22" s="35" t="s">
        <v>45</v>
      </c>
      <c r="E22">
        <f t="shared" ref="E22:E29" si="0">+(C22-C$7)/C$8</f>
        <v>-103.568700464063</v>
      </c>
      <c r="F22">
        <f t="shared" ref="F22:F29" si="1">ROUND(2*E22,0)/2</f>
        <v>-103.5</v>
      </c>
      <c r="G22">
        <f t="shared" ref="G22:G29" si="2">+C22-(C$7+F22*C$8)</f>
        <v>-3.1017599999977392</v>
      </c>
      <c r="I22">
        <f t="shared" ref="I22:I29" si="3">+G22</f>
        <v>-3.1017599999977392</v>
      </c>
      <c r="O22">
        <f t="shared" ref="O22:O29" ca="1" si="4">+C$11+C$12*$F22</f>
        <v>9.042367348830542E-2</v>
      </c>
      <c r="P22">
        <f t="shared" ref="P22:P29" ca="1" si="5">+D$11+D$12*$F22</f>
        <v>-3.0432853796077652</v>
      </c>
      <c r="Q22" s="2">
        <f t="shared" ref="Q22:Q29" si="6">+C22-15018.5</f>
        <v>32833.192000000003</v>
      </c>
      <c r="S22">
        <f>G22</f>
        <v>-3.1017599999977392</v>
      </c>
    </row>
    <row r="23" spans="1:19" x14ac:dyDescent="0.2">
      <c r="A23" s="35" t="s">
        <v>43</v>
      </c>
      <c r="B23" s="36" t="s">
        <v>46</v>
      </c>
      <c r="C23" s="35">
        <v>50631.5</v>
      </c>
      <c r="D23" s="35" t="s">
        <v>47</v>
      </c>
      <c r="E23">
        <f t="shared" si="0"/>
        <v>-41.999107843710561</v>
      </c>
      <c r="F23">
        <f t="shared" si="1"/>
        <v>-42</v>
      </c>
      <c r="G23">
        <f t="shared" si="2"/>
        <v>4.0280000001075678E-2</v>
      </c>
      <c r="I23">
        <f t="shared" si="3"/>
        <v>4.0280000001075678E-2</v>
      </c>
      <c r="O23">
        <f t="shared" ca="1" si="4"/>
        <v>2.3953469390330513E-2</v>
      </c>
      <c r="P23">
        <f t="shared" ca="1" si="5"/>
        <v>-3.0408627331889324</v>
      </c>
      <c r="Q23" s="2">
        <f t="shared" si="6"/>
        <v>35613</v>
      </c>
      <c r="R23">
        <f t="shared" ref="R23:R28" si="7">G23</f>
        <v>4.0280000001075678E-2</v>
      </c>
    </row>
    <row r="24" spans="1:19" x14ac:dyDescent="0.2">
      <c r="A24" s="35" t="s">
        <v>43</v>
      </c>
      <c r="B24" s="36" t="s">
        <v>44</v>
      </c>
      <c r="C24" s="35">
        <v>50831.7</v>
      </c>
      <c r="D24" s="35" t="s">
        <v>47</v>
      </c>
      <c r="E24">
        <f t="shared" si="0"/>
        <v>-37.564905034525758</v>
      </c>
      <c r="F24">
        <f t="shared" si="1"/>
        <v>-37.5</v>
      </c>
      <c r="G24">
        <f t="shared" si="2"/>
        <v>-2.9304000000047381</v>
      </c>
      <c r="I24">
        <f t="shared" si="3"/>
        <v>-2.9304000000047381</v>
      </c>
      <c r="O24">
        <f t="shared" ca="1" si="4"/>
        <v>1.9089795919746983E-2</v>
      </c>
      <c r="P24">
        <f t="shared" ca="1" si="5"/>
        <v>-3.040685466377798</v>
      </c>
      <c r="Q24" s="2">
        <f t="shared" si="6"/>
        <v>35813.199999999997</v>
      </c>
      <c r="S24">
        <f>G24</f>
        <v>-2.9304000000047381</v>
      </c>
    </row>
    <row r="25" spans="1:19" x14ac:dyDescent="0.2">
      <c r="A25" s="35" t="s">
        <v>43</v>
      </c>
      <c r="B25" s="36" t="s">
        <v>44</v>
      </c>
      <c r="C25" s="35">
        <v>51147.8</v>
      </c>
      <c r="D25" s="35" t="s">
        <v>47</v>
      </c>
      <c r="E25">
        <f t="shared" si="0"/>
        <v>-30.563648750892575</v>
      </c>
      <c r="F25">
        <f t="shared" si="1"/>
        <v>-30.5</v>
      </c>
      <c r="G25">
        <f t="shared" si="2"/>
        <v>-2.8736799999969662</v>
      </c>
      <c r="I25">
        <f t="shared" si="3"/>
        <v>-2.8736799999969662</v>
      </c>
      <c r="O25">
        <f t="shared" ca="1" si="4"/>
        <v>1.1524081632172608E-2</v>
      </c>
      <c r="P25">
        <f t="shared" ca="1" si="5"/>
        <v>-3.040409718004923</v>
      </c>
      <c r="Q25" s="2">
        <f t="shared" si="6"/>
        <v>36129.300000000003</v>
      </c>
      <c r="S25">
        <f>G25</f>
        <v>-2.8736799999969662</v>
      </c>
    </row>
    <row r="26" spans="1:19" x14ac:dyDescent="0.2">
      <c r="A26" s="35" t="s">
        <v>43</v>
      </c>
      <c r="B26" s="36" t="s">
        <v>46</v>
      </c>
      <c r="C26" s="35">
        <v>51308.65</v>
      </c>
      <c r="D26" s="35" t="s">
        <v>47</v>
      </c>
      <c r="E26">
        <f t="shared" si="0"/>
        <v>-27.001003786569999</v>
      </c>
      <c r="F26">
        <f t="shared" si="1"/>
        <v>-27</v>
      </c>
      <c r="G26">
        <f t="shared" si="2"/>
        <v>-4.5319999997445848E-2</v>
      </c>
      <c r="I26">
        <f t="shared" si="3"/>
        <v>-4.5319999997445848E-2</v>
      </c>
      <c r="O26">
        <f t="shared" ca="1" si="4"/>
        <v>7.7412244883854169E-3</v>
      </c>
      <c r="P26">
        <f t="shared" ca="1" si="5"/>
        <v>-3.040271843818485</v>
      </c>
      <c r="Q26" s="2">
        <f t="shared" si="6"/>
        <v>36290.15</v>
      </c>
      <c r="R26">
        <f t="shared" si="7"/>
        <v>-4.5319999997445848E-2</v>
      </c>
    </row>
    <row r="27" spans="1:19" x14ac:dyDescent="0.2">
      <c r="A27" s="35" t="s">
        <v>43</v>
      </c>
      <c r="B27" s="36" t="s">
        <v>46</v>
      </c>
      <c r="C27" s="35">
        <v>51715.1</v>
      </c>
      <c r="D27" s="35" t="s">
        <v>45</v>
      </c>
      <c r="E27">
        <f t="shared" si="0"/>
        <v>-17.998597533856827</v>
      </c>
      <c r="F27">
        <f t="shared" si="1"/>
        <v>-18</v>
      </c>
      <c r="G27">
        <f t="shared" si="2"/>
        <v>6.3319999993836973E-2</v>
      </c>
      <c r="I27">
        <f t="shared" si="3"/>
        <v>6.3319999993836973E-2</v>
      </c>
      <c r="O27">
        <f t="shared" ca="1" si="4"/>
        <v>-1.9861224527816454E-3</v>
      </c>
      <c r="P27">
        <f t="shared" ca="1" si="5"/>
        <v>-3.0399173101962171</v>
      </c>
      <c r="Q27" s="2">
        <f t="shared" si="6"/>
        <v>36696.6</v>
      </c>
      <c r="R27">
        <f t="shared" si="7"/>
        <v>6.3319999993836973E-2</v>
      </c>
    </row>
    <row r="28" spans="1:19" x14ac:dyDescent="0.2">
      <c r="A28" s="35" t="s">
        <v>43</v>
      </c>
      <c r="B28" s="36" t="s">
        <v>46</v>
      </c>
      <c r="C28" s="35">
        <v>51850.45</v>
      </c>
      <c r="D28" s="35" t="s">
        <v>47</v>
      </c>
      <c r="E28">
        <f t="shared" si="0"/>
        <v>-15.000748631643212</v>
      </c>
      <c r="F28">
        <f t="shared" si="1"/>
        <v>-15</v>
      </c>
      <c r="G28">
        <f t="shared" si="2"/>
        <v>-3.3800000004703179E-2</v>
      </c>
      <c r="I28">
        <f t="shared" si="3"/>
        <v>-3.3800000004703179E-2</v>
      </c>
      <c r="O28">
        <f t="shared" ca="1" si="4"/>
        <v>-5.2285714331706638E-3</v>
      </c>
      <c r="P28">
        <f t="shared" ca="1" si="5"/>
        <v>-3.0397991323221274</v>
      </c>
      <c r="Q28" s="2">
        <f t="shared" si="6"/>
        <v>36831.949999999997</v>
      </c>
      <c r="R28">
        <f t="shared" si="7"/>
        <v>-3.3800000004703179E-2</v>
      </c>
    </row>
    <row r="29" spans="1:19" x14ac:dyDescent="0.2">
      <c r="A29" s="35" t="s">
        <v>43</v>
      </c>
      <c r="B29" s="36" t="s">
        <v>44</v>
      </c>
      <c r="C29" s="35">
        <v>51869.8</v>
      </c>
      <c r="D29" s="35" t="s">
        <v>47</v>
      </c>
      <c r="E29">
        <f t="shared" si="0"/>
        <v>-14.572168090395696</v>
      </c>
      <c r="F29">
        <f t="shared" si="1"/>
        <v>-14.5</v>
      </c>
      <c r="G29">
        <f t="shared" si="2"/>
        <v>-3.2583200000008219</v>
      </c>
      <c r="I29">
        <f t="shared" si="3"/>
        <v>-3.2583200000008219</v>
      </c>
      <c r="O29">
        <f t="shared" ca="1" si="4"/>
        <v>-5.7689795965688365E-3</v>
      </c>
      <c r="P29">
        <f t="shared" ca="1" si="5"/>
        <v>-3.0397794360097792</v>
      </c>
      <c r="Q29" s="2">
        <f t="shared" si="6"/>
        <v>36851.300000000003</v>
      </c>
      <c r="S29">
        <f>G29</f>
        <v>-3.2583200000008219</v>
      </c>
    </row>
    <row r="30" spans="1:19" x14ac:dyDescent="0.2">
      <c r="A30" s="10"/>
      <c r="B30" s="11"/>
      <c r="C30" s="12"/>
      <c r="D30" s="13"/>
      <c r="Q30" s="2"/>
    </row>
    <row r="31" spans="1:19" x14ac:dyDescent="0.2">
      <c r="A31" s="14"/>
      <c r="B31" s="15"/>
      <c r="C31" s="12"/>
      <c r="D31" s="12"/>
      <c r="Q31" s="2"/>
    </row>
    <row r="32" spans="1:19" x14ac:dyDescent="0.2">
      <c r="A32" s="14"/>
      <c r="B32" s="15"/>
      <c r="C32" s="12"/>
      <c r="D32" s="12"/>
      <c r="Q32" s="2"/>
    </row>
    <row r="33" spans="1:17" x14ac:dyDescent="0.2">
      <c r="A33" s="16"/>
      <c r="B33" s="11"/>
      <c r="C33" s="12"/>
      <c r="D33" s="13"/>
      <c r="Q33" s="2"/>
    </row>
    <row r="34" spans="1:17" x14ac:dyDescent="0.2">
      <c r="A34" s="16"/>
      <c r="B34" s="11"/>
      <c r="C34" s="12"/>
      <c r="D34" s="13"/>
      <c r="Q34" s="2"/>
    </row>
    <row r="35" spans="1:17" x14ac:dyDescent="0.2">
      <c r="A35" s="16"/>
      <c r="B35" s="11"/>
      <c r="C35" s="12"/>
      <c r="D35" s="13"/>
      <c r="Q35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2024-01-17T04:54:50Z</dcterms:modified>
</cp:coreProperties>
</file>