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C75DDD8-FBF0-4719-AA70-9CB7EF0A10D9}" xr6:coauthVersionLast="47" xr6:coauthVersionMax="47" xr10:uidLastSave="{00000000-0000-0000-0000-000000000000}"/>
  <bookViews>
    <workbookView xWindow="-120" yWindow="-120" windowWidth="29040" windowHeight="15840"/>
  </bookViews>
  <sheets>
    <sheet name="Period 0.35" sheetId="1" r:id="rId1"/>
    <sheet name="Period 0.58" sheetId="3" r:id="rId2"/>
    <sheet name="Period 0.65" sheetId="7" r:id="rId3"/>
    <sheet name="Period 0.97" sheetId="6" r:id="rId4"/>
    <sheet name="Period 2.00" sheetId="2" r:id="rId5"/>
    <sheet name="Period 2.12" sheetId="4" r:id="rId6"/>
  </sheets>
  <definedNames>
    <definedName name="solver_adj" localSheetId="2" hidden="1">'Period 0.65'!$E$11:$E$13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'Period 0.65'!$E$14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30" i="4" l="1"/>
  <c r="F30" i="4"/>
  <c r="G30" i="4"/>
  <c r="H30" i="4"/>
  <c r="Q30" i="4"/>
  <c r="E31" i="4"/>
  <c r="F31" i="4"/>
  <c r="G31" i="4"/>
  <c r="H31" i="4"/>
  <c r="Q31" i="4"/>
  <c r="E32" i="4"/>
  <c r="F32" i="4"/>
  <c r="G32" i="4"/>
  <c r="H32" i="4"/>
  <c r="Q32" i="4"/>
  <c r="E33" i="4"/>
  <c r="F33" i="4"/>
  <c r="G33" i="4"/>
  <c r="H33" i="4"/>
  <c r="Q33" i="4"/>
  <c r="E30" i="2"/>
  <c r="F30" i="2"/>
  <c r="G30" i="2"/>
  <c r="H30" i="2"/>
  <c r="Q30" i="2"/>
  <c r="E31" i="2"/>
  <c r="F31" i="2"/>
  <c r="G31" i="2"/>
  <c r="H31" i="2"/>
  <c r="Q31" i="2"/>
  <c r="E32" i="2"/>
  <c r="F32" i="2"/>
  <c r="G32" i="2"/>
  <c r="H32" i="2"/>
  <c r="Q32" i="2"/>
  <c r="E33" i="2"/>
  <c r="F33" i="2"/>
  <c r="G33" i="2"/>
  <c r="H33" i="2"/>
  <c r="Q33" i="2"/>
  <c r="E31" i="6"/>
  <c r="F31" i="6"/>
  <c r="G31" i="6"/>
  <c r="H31" i="6"/>
  <c r="Q31" i="6"/>
  <c r="E32" i="6"/>
  <c r="F32" i="6"/>
  <c r="G32" i="6"/>
  <c r="H32" i="6"/>
  <c r="Q32" i="6"/>
  <c r="E33" i="6"/>
  <c r="F33" i="6"/>
  <c r="G33" i="6"/>
  <c r="H33" i="6"/>
  <c r="Q33" i="6"/>
  <c r="E30" i="3"/>
  <c r="F30" i="3"/>
  <c r="G30" i="3"/>
  <c r="H30" i="3"/>
  <c r="Q30" i="3"/>
  <c r="E31" i="3"/>
  <c r="F31" i="3"/>
  <c r="G31" i="3"/>
  <c r="H31" i="3"/>
  <c r="Q31" i="3"/>
  <c r="E32" i="3"/>
  <c r="F32" i="3"/>
  <c r="G32" i="3"/>
  <c r="H32" i="3"/>
  <c r="Q32" i="3"/>
  <c r="E33" i="3"/>
  <c r="F33" i="3"/>
  <c r="G33" i="3"/>
  <c r="H33" i="3"/>
  <c r="Q33" i="3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2" i="7"/>
  <c r="F32" i="7"/>
  <c r="G32" i="7"/>
  <c r="H32" i="7"/>
  <c r="Q32" i="7"/>
  <c r="E31" i="7"/>
  <c r="F31" i="7"/>
  <c r="G31" i="7"/>
  <c r="H31" i="7"/>
  <c r="Q31" i="7"/>
  <c r="D11" i="7"/>
  <c r="Y9" i="7" s="1"/>
  <c r="D12" i="7"/>
  <c r="E9" i="7"/>
  <c r="D9" i="7"/>
  <c r="V18" i="7"/>
  <c r="E29" i="7"/>
  <c r="F29" i="7"/>
  <c r="E21" i="7"/>
  <c r="F21" i="7"/>
  <c r="E22" i="7"/>
  <c r="F22" i="7"/>
  <c r="G22" i="7"/>
  <c r="H22" i="7"/>
  <c r="R22" i="7"/>
  <c r="T22" i="7"/>
  <c r="E23" i="7"/>
  <c r="F23" i="7"/>
  <c r="G23" i="7"/>
  <c r="H23" i="7"/>
  <c r="R23" i="7"/>
  <c r="T23" i="7"/>
  <c r="E24" i="7"/>
  <c r="F24" i="7"/>
  <c r="G24" i="7"/>
  <c r="H24" i="7"/>
  <c r="R24" i="7"/>
  <c r="T24" i="7"/>
  <c r="E25" i="7"/>
  <c r="F25" i="7"/>
  <c r="E26" i="7"/>
  <c r="F26" i="7"/>
  <c r="G26" i="7"/>
  <c r="H26" i="7"/>
  <c r="R26" i="7"/>
  <c r="T26" i="7"/>
  <c r="E27" i="7"/>
  <c r="F27" i="7"/>
  <c r="G27" i="7"/>
  <c r="H27" i="7"/>
  <c r="R27" i="7"/>
  <c r="T27" i="7"/>
  <c r="E28" i="7"/>
  <c r="F28" i="7"/>
  <c r="G28" i="7"/>
  <c r="H28" i="7"/>
  <c r="E30" i="7"/>
  <c r="F30" i="7"/>
  <c r="G30" i="7"/>
  <c r="I30" i="7"/>
  <c r="Q29" i="7"/>
  <c r="D13" i="7"/>
  <c r="E30" i="6"/>
  <c r="F30" i="6"/>
  <c r="G30" i="6"/>
  <c r="H30" i="6"/>
  <c r="F11" i="6"/>
  <c r="Q30" i="6"/>
  <c r="Y10" i="7"/>
  <c r="Y4" i="7"/>
  <c r="Y2" i="7"/>
  <c r="F16" i="7"/>
  <c r="F17" i="7" s="1"/>
  <c r="C17" i="7"/>
  <c r="G11" i="7"/>
  <c r="Q21" i="7"/>
  <c r="Q22" i="7"/>
  <c r="Q23" i="7"/>
  <c r="Q24" i="7"/>
  <c r="Q25" i="7"/>
  <c r="Q26" i="7"/>
  <c r="Q27" i="7"/>
  <c r="Q28" i="7"/>
  <c r="Q30" i="7"/>
  <c r="E21" i="6"/>
  <c r="F21" i="6"/>
  <c r="G21" i="6"/>
  <c r="H21" i="6"/>
  <c r="E22" i="6"/>
  <c r="F22" i="6"/>
  <c r="G22" i="6"/>
  <c r="H22" i="6"/>
  <c r="E23" i="6"/>
  <c r="F23" i="6"/>
  <c r="G23" i="6"/>
  <c r="H23" i="6"/>
  <c r="E24" i="6"/>
  <c r="F24" i="6"/>
  <c r="G24" i="6"/>
  <c r="H24" i="6"/>
  <c r="E25" i="6"/>
  <c r="F25" i="6"/>
  <c r="G25" i="6"/>
  <c r="H25" i="6"/>
  <c r="E26" i="6"/>
  <c r="F26" i="6"/>
  <c r="G26" i="6"/>
  <c r="H26" i="6"/>
  <c r="E27" i="6"/>
  <c r="F27" i="6"/>
  <c r="G27" i="6"/>
  <c r="H27" i="6"/>
  <c r="E28" i="6"/>
  <c r="F28" i="6"/>
  <c r="G28" i="6"/>
  <c r="H28" i="6"/>
  <c r="E29" i="6"/>
  <c r="F29" i="6"/>
  <c r="G29" i="6"/>
  <c r="I29" i="6"/>
  <c r="G11" i="6"/>
  <c r="E15" i="6"/>
  <c r="C17" i="6"/>
  <c r="Q21" i="6"/>
  <c r="Q22" i="6"/>
  <c r="Q23" i="6"/>
  <c r="Q24" i="6"/>
  <c r="Q25" i="6"/>
  <c r="Q26" i="6"/>
  <c r="Q27" i="6"/>
  <c r="Q28" i="6"/>
  <c r="Q29" i="6"/>
  <c r="E29" i="4"/>
  <c r="F29" i="4"/>
  <c r="G29" i="4"/>
  <c r="H29" i="4"/>
  <c r="F11" i="4"/>
  <c r="Q29" i="4"/>
  <c r="E29" i="3"/>
  <c r="F29" i="3"/>
  <c r="G29" i="3"/>
  <c r="H29" i="3"/>
  <c r="F11" i="3"/>
  <c r="Q29" i="3"/>
  <c r="E29" i="2"/>
  <c r="F29" i="2"/>
  <c r="G29" i="2"/>
  <c r="H29" i="2"/>
  <c r="F11" i="2"/>
  <c r="Q29" i="2"/>
  <c r="E29" i="1"/>
  <c r="F29" i="1"/>
  <c r="G29" i="1"/>
  <c r="H29" i="1"/>
  <c r="F11" i="1"/>
  <c r="Q29" i="1"/>
  <c r="E21" i="4"/>
  <c r="F21" i="4"/>
  <c r="G21" i="4"/>
  <c r="E22" i="4"/>
  <c r="F22" i="4"/>
  <c r="G22" i="4"/>
  <c r="H22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H26" i="4"/>
  <c r="E27" i="4"/>
  <c r="F27" i="4"/>
  <c r="G27" i="4"/>
  <c r="H27" i="4"/>
  <c r="E28" i="4"/>
  <c r="F28" i="4"/>
  <c r="G28" i="4"/>
  <c r="I28" i="4"/>
  <c r="G11" i="4"/>
  <c r="E15" i="4"/>
  <c r="C17" i="4"/>
  <c r="H21" i="4"/>
  <c r="Q21" i="4"/>
  <c r="Q22" i="4"/>
  <c r="Q23" i="4"/>
  <c r="Q24" i="4"/>
  <c r="Q25" i="4"/>
  <c r="Q26" i="4"/>
  <c r="Q27" i="4"/>
  <c r="Q28" i="4"/>
  <c r="E28" i="3"/>
  <c r="F28" i="3"/>
  <c r="G28" i="3"/>
  <c r="I28" i="3"/>
  <c r="Q28" i="3"/>
  <c r="E28" i="2"/>
  <c r="F28" i="2"/>
  <c r="G28" i="2"/>
  <c r="I28" i="2"/>
  <c r="Q28" i="2"/>
  <c r="E28" i="1"/>
  <c r="F28" i="1"/>
  <c r="G28" i="1"/>
  <c r="I28" i="1"/>
  <c r="Q28" i="1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G11" i="3"/>
  <c r="E15" i="3"/>
  <c r="C17" i="3"/>
  <c r="Q21" i="3"/>
  <c r="Q22" i="3"/>
  <c r="Q23" i="3"/>
  <c r="Q24" i="3"/>
  <c r="Q25" i="3"/>
  <c r="Q26" i="3"/>
  <c r="Q27" i="3"/>
  <c r="G11" i="2"/>
  <c r="E15" i="2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H25" i="2"/>
  <c r="Q25" i="2"/>
  <c r="E26" i="2"/>
  <c r="F26" i="2"/>
  <c r="G26" i="2"/>
  <c r="H26" i="2"/>
  <c r="Q26" i="2"/>
  <c r="E27" i="2"/>
  <c r="F27" i="2"/>
  <c r="G27" i="2"/>
  <c r="H27" i="2"/>
  <c r="Q27" i="2"/>
  <c r="E25" i="1"/>
  <c r="F25" i="1"/>
  <c r="G25" i="1"/>
  <c r="H25" i="1"/>
  <c r="E26" i="1"/>
  <c r="F26" i="1"/>
  <c r="G26" i="1"/>
  <c r="H26" i="1"/>
  <c r="E27" i="1"/>
  <c r="F27" i="1"/>
  <c r="G27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Q25" i="1"/>
  <c r="Q26" i="1"/>
  <c r="H27" i="1"/>
  <c r="Q27" i="1"/>
  <c r="Q22" i="1"/>
  <c r="Q23" i="1"/>
  <c r="Q24" i="1"/>
  <c r="G11" i="1"/>
  <c r="E15" i="1"/>
  <c r="C17" i="1"/>
  <c r="Q21" i="1"/>
  <c r="G21" i="7"/>
  <c r="H21" i="7"/>
  <c r="R21" i="7"/>
  <c r="D16" i="7"/>
  <c r="D19" i="7"/>
  <c r="P21" i="7"/>
  <c r="W21" i="7" s="1"/>
  <c r="D15" i="7"/>
  <c r="C19" i="7" s="1"/>
  <c r="G29" i="7"/>
  <c r="P29" i="7"/>
  <c r="G25" i="7"/>
  <c r="H25" i="7"/>
  <c r="R25" i="7"/>
  <c r="T25" i="7"/>
  <c r="P25" i="7"/>
  <c r="W25" i="7" s="1"/>
  <c r="Y3" i="7"/>
  <c r="Y11" i="7"/>
  <c r="Y26" i="7"/>
  <c r="Y18" i="7"/>
  <c r="P28" i="7"/>
  <c r="W28" i="7"/>
  <c r="P31" i="7"/>
  <c r="P24" i="7"/>
  <c r="W24" i="7" s="1"/>
  <c r="P27" i="7"/>
  <c r="W27" i="7"/>
  <c r="P23" i="7"/>
  <c r="W23" i="7"/>
  <c r="P32" i="7"/>
  <c r="Y7" i="7"/>
  <c r="Y15" i="7"/>
  <c r="Y22" i="7"/>
  <c r="G7" i="7"/>
  <c r="P30" i="7"/>
  <c r="W30" i="7"/>
  <c r="Y8" i="7"/>
  <c r="Y16" i="7"/>
  <c r="P26" i="7"/>
  <c r="W26" i="7"/>
  <c r="W29" i="7"/>
  <c r="H29" i="7"/>
  <c r="T21" i="7"/>
  <c r="R18" i="7"/>
  <c r="Y23" i="7"/>
  <c r="Y12" i="7"/>
  <c r="Y20" i="7"/>
  <c r="Y21" i="7"/>
  <c r="Y13" i="7"/>
  <c r="Y19" i="7"/>
  <c r="P22" i="7"/>
  <c r="W22" i="7"/>
  <c r="Y5" i="7"/>
  <c r="Y6" i="7"/>
  <c r="C11" i="2"/>
  <c r="C11" i="4"/>
  <c r="C12" i="7"/>
  <c r="C12" i="3"/>
  <c r="C11" i="3"/>
  <c r="C11" i="6"/>
  <c r="C11" i="7"/>
  <c r="C12" i="2"/>
  <c r="C12" i="6"/>
  <c r="C12" i="1"/>
  <c r="C12" i="4"/>
  <c r="C11" i="1"/>
  <c r="O27" i="1" l="1"/>
  <c r="V27" i="1" s="1"/>
  <c r="O29" i="1"/>
  <c r="V29" i="1" s="1"/>
  <c r="O30" i="1"/>
  <c r="V30" i="1" s="1"/>
  <c r="O26" i="1"/>
  <c r="V26" i="1" s="1"/>
  <c r="O25" i="1"/>
  <c r="V25" i="1" s="1"/>
  <c r="O22" i="1"/>
  <c r="V22" i="1" s="1"/>
  <c r="O28" i="1"/>
  <c r="V28" i="1" s="1"/>
  <c r="O33" i="1"/>
  <c r="V33" i="1" s="1"/>
  <c r="C15" i="1"/>
  <c r="O23" i="1"/>
  <c r="V23" i="1" s="1"/>
  <c r="O31" i="1"/>
  <c r="V31" i="1" s="1"/>
  <c r="O24" i="1"/>
  <c r="V24" i="1" s="1"/>
  <c r="O21" i="1"/>
  <c r="V21" i="1" s="1"/>
  <c r="O32" i="1"/>
  <c r="V32" i="1" s="1"/>
  <c r="C16" i="4"/>
  <c r="D18" i="4" s="1"/>
  <c r="C16" i="1"/>
  <c r="D18" i="1" s="1"/>
  <c r="C16" i="6"/>
  <c r="D18" i="6" s="1"/>
  <c r="C16" i="2"/>
  <c r="D18" i="2" s="1"/>
  <c r="C15" i="7"/>
  <c r="O28" i="7"/>
  <c r="O29" i="7"/>
  <c r="O30" i="7"/>
  <c r="O31" i="7"/>
  <c r="R31" i="7" s="1"/>
  <c r="T31" i="7" s="1"/>
  <c r="O32" i="7"/>
  <c r="R32" i="7" s="1"/>
  <c r="T32" i="7" s="1"/>
  <c r="O21" i="6"/>
  <c r="V21" i="6" s="1"/>
  <c r="O25" i="6"/>
  <c r="V25" i="6" s="1"/>
  <c r="O24" i="6"/>
  <c r="V24" i="6" s="1"/>
  <c r="O31" i="6"/>
  <c r="V31" i="6" s="1"/>
  <c r="O32" i="6"/>
  <c r="V32" i="6" s="1"/>
  <c r="O29" i="6"/>
  <c r="V29" i="6" s="1"/>
  <c r="O28" i="6"/>
  <c r="V28" i="6" s="1"/>
  <c r="O22" i="6"/>
  <c r="V22" i="6" s="1"/>
  <c r="O26" i="6"/>
  <c r="V26" i="6" s="1"/>
  <c r="O30" i="6"/>
  <c r="V30" i="6" s="1"/>
  <c r="O27" i="6"/>
  <c r="V27" i="6" s="1"/>
  <c r="O33" i="6"/>
  <c r="V33" i="6" s="1"/>
  <c r="O23" i="6"/>
  <c r="V23" i="6" s="1"/>
  <c r="C15" i="6"/>
  <c r="O31" i="3"/>
  <c r="V31" i="3" s="1"/>
  <c r="O33" i="3"/>
  <c r="V33" i="3" s="1"/>
  <c r="O22" i="3"/>
  <c r="V22" i="3" s="1"/>
  <c r="O28" i="3"/>
  <c r="V28" i="3" s="1"/>
  <c r="O27" i="3"/>
  <c r="V27" i="3" s="1"/>
  <c r="O24" i="3"/>
  <c r="V24" i="3" s="1"/>
  <c r="O21" i="3"/>
  <c r="V21" i="3" s="1"/>
  <c r="O30" i="3"/>
  <c r="V30" i="3" s="1"/>
  <c r="O25" i="3"/>
  <c r="V25" i="3" s="1"/>
  <c r="O29" i="3"/>
  <c r="V29" i="3" s="1"/>
  <c r="O26" i="3"/>
  <c r="V26" i="3" s="1"/>
  <c r="O32" i="3"/>
  <c r="V32" i="3" s="1"/>
  <c r="C15" i="3"/>
  <c r="O23" i="3"/>
  <c r="V23" i="3" s="1"/>
  <c r="C16" i="3"/>
  <c r="D18" i="3" s="1"/>
  <c r="C16" i="7"/>
  <c r="D18" i="7" s="1"/>
  <c r="O22" i="4"/>
  <c r="V22" i="4" s="1"/>
  <c r="O21" i="4"/>
  <c r="V21" i="4" s="1"/>
  <c r="O31" i="4"/>
  <c r="V31" i="4" s="1"/>
  <c r="C15" i="4"/>
  <c r="O24" i="4"/>
  <c r="V24" i="4" s="1"/>
  <c r="O32" i="4"/>
  <c r="V32" i="4" s="1"/>
  <c r="O29" i="4"/>
  <c r="V29" i="4" s="1"/>
  <c r="O33" i="4"/>
  <c r="V33" i="4" s="1"/>
  <c r="O25" i="4"/>
  <c r="V25" i="4" s="1"/>
  <c r="O26" i="4"/>
  <c r="V26" i="4" s="1"/>
  <c r="O28" i="4"/>
  <c r="V28" i="4" s="1"/>
  <c r="O23" i="4"/>
  <c r="V23" i="4" s="1"/>
  <c r="O30" i="4"/>
  <c r="V30" i="4" s="1"/>
  <c r="O27" i="4"/>
  <c r="V27" i="4" s="1"/>
  <c r="O25" i="2"/>
  <c r="V25" i="2" s="1"/>
  <c r="O27" i="2"/>
  <c r="V27" i="2" s="1"/>
  <c r="O21" i="2"/>
  <c r="V21" i="2" s="1"/>
  <c r="O30" i="2"/>
  <c r="V30" i="2" s="1"/>
  <c r="O28" i="2"/>
  <c r="V28" i="2" s="1"/>
  <c r="O24" i="2"/>
  <c r="V24" i="2" s="1"/>
  <c r="C15" i="2"/>
  <c r="O23" i="2"/>
  <c r="V23" i="2" s="1"/>
  <c r="O32" i="2"/>
  <c r="V32" i="2" s="1"/>
  <c r="O33" i="2"/>
  <c r="V33" i="2" s="1"/>
  <c r="O29" i="2"/>
  <c r="V29" i="2" s="1"/>
  <c r="O31" i="2"/>
  <c r="V31" i="2" s="1"/>
  <c r="O22" i="2"/>
  <c r="V22" i="2" s="1"/>
  <c r="O26" i="2"/>
  <c r="V26" i="2" s="1"/>
  <c r="W18" i="7"/>
  <c r="E16" i="1"/>
  <c r="Y14" i="7"/>
  <c r="Y17" i="7"/>
  <c r="Y24" i="7"/>
  <c r="Y27" i="7"/>
  <c r="Y25" i="7"/>
  <c r="V18" i="2" l="1"/>
  <c r="V18" i="1"/>
  <c r="E16" i="2"/>
  <c r="V18" i="4"/>
  <c r="E16" i="6"/>
  <c r="E17" i="6" s="1"/>
  <c r="C18" i="6"/>
  <c r="R30" i="7"/>
  <c r="T30" i="7" s="1"/>
  <c r="V30" i="7"/>
  <c r="V18" i="3"/>
  <c r="R29" i="7"/>
  <c r="T29" i="7" s="1"/>
  <c r="V29" i="7"/>
  <c r="V28" i="7"/>
  <c r="R28" i="7"/>
  <c r="T28" i="7" s="1"/>
  <c r="C18" i="3"/>
  <c r="F18" i="7"/>
  <c r="F19" i="7" s="1"/>
  <c r="C18" i="7"/>
  <c r="E17" i="2"/>
  <c r="C18" i="2"/>
  <c r="C18" i="4"/>
  <c r="E16" i="4"/>
  <c r="E17" i="4" s="1"/>
  <c r="E16" i="3"/>
  <c r="E17" i="3" s="1"/>
  <c r="V18" i="6"/>
  <c r="C18" i="1"/>
  <c r="E17" i="1"/>
  <c r="E14" i="7" l="1"/>
</calcChain>
</file>

<file path=xl/sharedStrings.xml><?xml version="1.0" encoding="utf-8"?>
<sst xmlns="http://schemas.openxmlformats.org/spreadsheetml/2006/main" count="382" uniqueCount="73">
  <si>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</si>
  <si>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</si>
  <si>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</si>
  <si>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</si>
  <si>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</si>
  <si>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</si>
  <si>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</si>
  <si>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</si>
  <si>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</si>
  <si>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</si>
  <si>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</si>
  <si>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</si>
  <si>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</si>
  <si>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</si>
  <si>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</si>
  <si>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</si>
  <si>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</si>
  <si>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</si>
  <si>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</si>
  <si>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</si>
  <si>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</si>
  <si>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</si>
  <si>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</si>
  <si>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</si>
  <si>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</si>
  <si>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</si>
  <si>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</si>
  <si>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</si>
  <si>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</si>
  <si>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</si>
  <si>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</si>
  <si>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</si>
  <si>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</si>
  <si>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</si>
  <si>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</si>
  <si>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</si>
  <si>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</si>
  <si>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</si>
  <si>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</si>
  <si>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Found by ToMcat 2008-03-21</t>
  </si>
  <si>
    <t>IBVS 5657</t>
  </si>
  <si>
    <t>Vir</t>
  </si>
  <si>
    <t>IBVS 5802</t>
  </si>
  <si>
    <t>VSX 2013-03-06</t>
  </si>
  <si>
    <t>V0355 Vir / GSC 00278-00814</t>
  </si>
  <si>
    <t>RHN 2013</t>
  </si>
  <si>
    <t>Nelson</t>
  </si>
  <si>
    <t>All periods are suspect.</t>
  </si>
  <si>
    <t>ToMcat 2013-03-06</t>
  </si>
  <si>
    <t>RS CVn</t>
  </si>
  <si>
    <t>BAD?</t>
  </si>
  <si>
    <t>This may be the best</t>
  </si>
  <si>
    <t>IBVS 6010</t>
  </si>
  <si>
    <t>I</t>
  </si>
  <si>
    <t>VSX 2013-03-11</t>
  </si>
  <si>
    <t>ToMcat 2013-03-11</t>
  </si>
  <si>
    <t>Start of linear fit (row #)</t>
  </si>
  <si>
    <t>Sum diff² =</t>
  </si>
  <si>
    <t>Add cycle</t>
  </si>
  <si>
    <t>Old Cycle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</si>
  <si>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</si>
  <si>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</si>
  <si>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</si>
  <si>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</si>
  <si>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</si>
  <si>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</si>
  <si>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</si>
  <si>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NO.  This is WAY too large</t>
  </si>
  <si>
    <t>d/yr</t>
  </si>
  <si>
    <t>IBVS 6048</t>
  </si>
  <si>
    <t>IBVS 6092</t>
  </si>
  <si>
    <t>IBVS 6149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</si>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</sst>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4" fillId="0" borderId="0" xfId="0" applyFont="1" applyAlignment="1"/>
    <xf numFmtId="0" fontId="4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0" borderId="0" xfId="0" applyFont="1" applyAlignment="1"/>
    <xf numFmtId="0" fontId="0" fillId="0" borderId="2" xfId="0" applyBorder="1" applyAlignment="1"/>
    <xf numFmtId="0" fontId="0" fillId="0" borderId="12" xfId="0" applyBorder="1" applyAlignment="1"/>
    <xf numFmtId="0" fontId="22" fillId="0" borderId="13" xfId="0" applyFont="1" applyBorder="1" applyAlignment="1"/>
    <xf numFmtId="0" fontId="11" fillId="0" borderId="14" xfId="0" applyFont="1" applyBorder="1" applyAlignment="1"/>
    <xf numFmtId="0" fontId="11" fillId="0" borderId="15" xfId="0" applyFont="1" applyBorder="1" applyAlignment="1"/>
    <xf numFmtId="0" fontId="11" fillId="0" borderId="16" xfId="0" applyFont="1" applyBorder="1" applyAlignment="1"/>
    <xf numFmtId="0" fontId="5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0.35'!$H$20:$H$20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-4.2071204807143658E-3</c:v>
                </c:pt>
                <c:pt idx="2">
                  <c:v>3.8587455928791314E-3</c:v>
                </c:pt>
                <c:pt idx="3">
                  <c:v>-5.3636600932804868E-4</c:v>
                </c:pt>
                <c:pt idx="4">
                  <c:v>8.1532926415093243E-2</c:v>
                </c:pt>
                <c:pt idx="5">
                  <c:v>1.9398792501306161E-2</c:v>
                </c:pt>
                <c:pt idx="6">
                  <c:v>-7.7935341432748828E-2</c:v>
                </c:pt>
                <c:pt idx="8">
                  <c:v>-1.1035778887162451E-2</c:v>
                </c:pt>
                <c:pt idx="9">
                  <c:v>-2.0949646568624303E-4</c:v>
                </c:pt>
                <c:pt idx="10">
                  <c:v>7.8109241250785999E-2</c:v>
                </c:pt>
                <c:pt idx="11">
                  <c:v>-2.747408342838753E-2</c:v>
                </c:pt>
                <c:pt idx="12">
                  <c:v>-4.3477301071106922E-2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F9-44F7-BBEA-C13408163261}"/>
            </c:ext>
          </c:extLst>
        </c:ser>
        <c:ser>
          <c:idx val="1"/>
          <c:order val="1"/>
          <c:tx>
            <c:strRef>
              <c:f>'Period 0.35'!$I$20:$I$20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0.35'!$I$21:$I$998</c:f>
              <c:numCache>
                <c:formatCode>General</c:formatCode>
                <c:ptCount val="978"/>
                <c:pt idx="7">
                  <c:v>7.8109241250785999E-2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F9-44F7-BBEA-C13408163261}"/>
            </c:ext>
          </c:extLst>
        </c:ser>
        <c:ser>
          <c:idx val="3"/>
          <c:order val="2"/>
          <c:tx>
            <c:strRef>
              <c:f>'Period 0.35'!$J$20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F9-44F7-BBEA-C13408163261}"/>
            </c:ext>
          </c:extLst>
        </c:ser>
        <c:ser>
          <c:idx val="4"/>
          <c:order val="3"/>
          <c:tx>
            <c:strRef>
              <c:f>'Period 0.35'!$K$20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F9-44F7-BBEA-C13408163261}"/>
            </c:ext>
          </c:extLst>
        </c:ser>
        <c:ser>
          <c:idx val="2"/>
          <c:order val="4"/>
          <c:tx>
            <c:strRef>
              <c:f>'Period 0.35'!$L$20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F9-44F7-BBEA-C13408163261}"/>
            </c:ext>
          </c:extLst>
        </c:ser>
        <c:ser>
          <c:idx val="5"/>
          <c:order val="5"/>
          <c:tx>
            <c:strRef>
              <c:f>'Period 0.35'!$M$20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F9-44F7-BBEA-C13408163261}"/>
            </c:ext>
          </c:extLst>
        </c:ser>
        <c:ser>
          <c:idx val="6"/>
          <c:order val="6"/>
          <c:tx>
            <c:strRef>
              <c:f>'Period 0.35'!$N$20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0.35'!$D$21:$D$998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F9-44F7-BBEA-C13408163261}"/>
            </c:ext>
          </c:extLst>
        </c:ser>
        <c:ser>
          <c:idx val="7"/>
          <c:order val="7"/>
          <c:tx>
            <c:strRef>
              <c:f>'Period 0.35'!$O$20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0.35'!$F$21:$F$998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47.5</c:v>
                </c:pt>
                <c:pt idx="2">
                  <c:v>50.5</c:v>
                </c:pt>
                <c:pt idx="3">
                  <c:v>53</c:v>
                </c:pt>
                <c:pt idx="4">
                  <c:v>2062.5</c:v>
                </c:pt>
                <c:pt idx="5">
                  <c:v>2065.5</c:v>
                </c:pt>
                <c:pt idx="6">
                  <c:v>2068.5</c:v>
                </c:pt>
                <c:pt idx="7">
                  <c:v>8126</c:v>
                </c:pt>
                <c:pt idx="8">
                  <c:v>6088</c:v>
                </c:pt>
                <c:pt idx="9">
                  <c:v>7134.5</c:v>
                </c:pt>
                <c:pt idx="10">
                  <c:v>8126</c:v>
                </c:pt>
                <c:pt idx="11">
                  <c:v>9208.5</c:v>
                </c:pt>
                <c:pt idx="12">
                  <c:v>10199</c:v>
                </c:pt>
              </c:numCache>
            </c:numRef>
          </c:xVal>
          <c:yVal>
            <c:numRef>
              <c:f>'Period 0.35'!$O$21:$O$998</c:f>
              <c:numCache>
                <c:formatCode>General</c:formatCode>
                <c:ptCount val="978"/>
                <c:pt idx="0">
                  <c:v>4.148527645528915E-3</c:v>
                </c:pt>
                <c:pt idx="1">
                  <c:v>4.1848238910604232E-3</c:v>
                </c:pt>
                <c:pt idx="2">
                  <c:v>4.1871162855150442E-3</c:v>
                </c:pt>
                <c:pt idx="3">
                  <c:v>4.1890266142272292E-3</c:v>
                </c:pt>
                <c:pt idx="4">
                  <c:v>5.7245488330812284E-3</c:v>
                </c:pt>
                <c:pt idx="5">
                  <c:v>5.7268412275358503E-3</c:v>
                </c:pt>
                <c:pt idx="6">
                  <c:v>5.7291336219904721E-3</c:v>
                </c:pt>
                <c:pt idx="7">
                  <c:v>1.0357860091613812E-2</c:v>
                </c:pt>
                <c:pt idx="8">
                  <c:v>8.8005601254409083E-3</c:v>
                </c:pt>
                <c:pt idx="9">
                  <c:v>9.6002237243613918E-3</c:v>
                </c:pt>
                <c:pt idx="10">
                  <c:v>1.0357860091613812E-2</c:v>
                </c:pt>
                <c:pt idx="11">
                  <c:v>1.1185032423989754E-2</c:v>
                </c:pt>
                <c:pt idx="12">
                  <c:v>1.1941904659757301E-2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F9-44F7-BBEA-C1340816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81568"/>
        <c:axId val="1"/>
      </c:scatterChart>
      <c:valAx>
        <c:axId val="503781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8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0.58'!$H$20:$H$20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3.4746500001347158E-2</c:v>
                </c:pt>
                <c:pt idx="2">
                  <c:v>-5.3336499993747566E-2</c:v>
                </c:pt>
                <c:pt idx="3">
                  <c:v>-4.027374999714084E-2</c:v>
                </c:pt>
                <c:pt idx="4">
                  <c:v>0.13972700000158511</c:v>
                </c:pt>
                <c:pt idx="5">
                  <c:v>-1.8555999995442107E-2</c:v>
                </c:pt>
                <c:pt idx="6">
                  <c:v>8.0706749999080785E-2</c:v>
                </c:pt>
                <c:pt idx="8">
                  <c:v>-6.2883250000595581E-2</c:v>
                </c:pt>
                <c:pt idx="9">
                  <c:v>-0.12138899999990826</c:v>
                </c:pt>
                <c:pt idx="10">
                  <c:v>8.901624999998603E-2</c:v>
                </c:pt>
                <c:pt idx="11">
                  <c:v>-6.8702500000654254E-2</c:v>
                </c:pt>
                <c:pt idx="12">
                  <c:v>-1.8151500000385568E-2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F-4D39-B2E6-3932E8BA1C9B}"/>
            </c:ext>
          </c:extLst>
        </c:ser>
        <c:ser>
          <c:idx val="1"/>
          <c:order val="1"/>
          <c:tx>
            <c:strRef>
              <c:f>'Period 0.58'!$I$20:$I$20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0.58'!$I$21:$I$998</c:f>
              <c:numCache>
                <c:formatCode>General</c:formatCode>
                <c:ptCount val="978"/>
                <c:pt idx="7">
                  <c:v>8.901624999998603E-2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F-4D39-B2E6-3932E8BA1C9B}"/>
            </c:ext>
          </c:extLst>
        </c:ser>
        <c:ser>
          <c:idx val="3"/>
          <c:order val="2"/>
          <c:tx>
            <c:strRef>
              <c:f>'Period 0.58'!$J$20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CF-4D39-B2E6-3932E8BA1C9B}"/>
            </c:ext>
          </c:extLst>
        </c:ser>
        <c:ser>
          <c:idx val="4"/>
          <c:order val="3"/>
          <c:tx>
            <c:strRef>
              <c:f>'Period 0.58'!$K$20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CF-4D39-B2E6-3932E8BA1C9B}"/>
            </c:ext>
          </c:extLst>
        </c:ser>
        <c:ser>
          <c:idx val="2"/>
          <c:order val="4"/>
          <c:tx>
            <c:strRef>
              <c:f>'Period 0.58'!$L$20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CF-4D39-B2E6-3932E8BA1C9B}"/>
            </c:ext>
          </c:extLst>
        </c:ser>
        <c:ser>
          <c:idx val="5"/>
          <c:order val="5"/>
          <c:tx>
            <c:strRef>
              <c:f>'Period 0.58'!$M$20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CF-4D39-B2E6-3932E8BA1C9B}"/>
            </c:ext>
          </c:extLst>
        </c:ser>
        <c:ser>
          <c:idx val="6"/>
          <c:order val="6"/>
          <c:tx>
            <c:strRef>
              <c:f>'Period 0.58'!$N$20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0.58'!$D$21:$D$998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CF-4D39-B2E6-3932E8BA1C9B}"/>
            </c:ext>
          </c:extLst>
        </c:ser>
        <c:ser>
          <c:idx val="7"/>
          <c:order val="7"/>
          <c:tx>
            <c:strRef>
              <c:f>'Period 0.58'!$O$20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0.58'!$F$21:$F$998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</c:v>
                </c:pt>
                <c:pt idx="2">
                  <c:v>31</c:v>
                </c:pt>
                <c:pt idx="3">
                  <c:v>32.5</c:v>
                </c:pt>
                <c:pt idx="4">
                  <c:v>1262</c:v>
                </c:pt>
                <c:pt idx="5">
                  <c:v>1264</c:v>
                </c:pt>
                <c:pt idx="6">
                  <c:v>1265.5</c:v>
                </c:pt>
                <c:pt idx="7">
                  <c:v>4972.5</c:v>
                </c:pt>
                <c:pt idx="8">
                  <c:v>3725.5</c:v>
                </c:pt>
                <c:pt idx="9">
                  <c:v>4366</c:v>
                </c:pt>
                <c:pt idx="10">
                  <c:v>4972.5</c:v>
                </c:pt>
                <c:pt idx="11">
                  <c:v>5635</c:v>
                </c:pt>
                <c:pt idx="12">
                  <c:v>6241</c:v>
                </c:pt>
              </c:numCache>
            </c:numRef>
          </c:xVal>
          <c:yVal>
            <c:numRef>
              <c:f>'Period 0.58'!$O$21:$O$998</c:f>
              <c:numCache>
                <c:formatCode>General</c:formatCode>
                <c:ptCount val="978"/>
                <c:pt idx="0">
                  <c:v>1.334850147398365E-2</c:v>
                </c:pt>
                <c:pt idx="1">
                  <c:v>1.3242434342615531E-2</c:v>
                </c:pt>
                <c:pt idx="2">
                  <c:v>1.3235119368038419E-2</c:v>
                </c:pt>
                <c:pt idx="3">
                  <c:v>1.3229633137105585E-2</c:v>
                </c:pt>
                <c:pt idx="4">
                  <c:v>8.732752515826215E-3</c:v>
                </c:pt>
                <c:pt idx="5">
                  <c:v>8.7254375412491036E-3</c:v>
                </c:pt>
                <c:pt idx="6">
                  <c:v>8.7199513103162693E-3</c:v>
                </c:pt>
                <c:pt idx="7">
                  <c:v>-4.8383540683601296E-3</c:v>
                </c:pt>
                <c:pt idx="8">
                  <c:v>-2.774674195310297E-4</c:v>
                </c:pt>
                <c:pt idx="9">
                  <c:v>-2.6200880278510266E-3</c:v>
                </c:pt>
                <c:pt idx="10">
                  <c:v>-4.8383540683601296E-3</c:v>
                </c:pt>
                <c:pt idx="11">
                  <c:v>-7.2614393970283561E-3</c:v>
                </c:pt>
                <c:pt idx="12">
                  <c:v>-9.4778766938931752E-3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CF-4D39-B2E6-3932E8BA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79048"/>
        <c:axId val="1"/>
      </c:scatterChart>
      <c:valAx>
        <c:axId val="50377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7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6095917326488465"/>
          <c:w val="0.82406015037593983"/>
          <c:h val="0.58904208088425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0.65'!$H$20:$H$20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-3.3939999993890524E-2</c:v>
                </c:pt>
                <c:pt idx="2">
                  <c:v>6.542500000068685E-2</c:v>
                </c:pt>
                <c:pt idx="3">
                  <c:v>-2.681000000302447E-2</c:v>
                </c:pt>
                <c:pt idx="4">
                  <c:v>6.7369999997026753E-2</c:v>
                </c:pt>
                <c:pt idx="5">
                  <c:v>9.6535000004223548E-2</c:v>
                </c:pt>
                <c:pt idx="6">
                  <c:v>9.0499999998428393E-2</c:v>
                </c:pt>
                <c:pt idx="7">
                  <c:v>3.2915000003413297E-2</c:v>
                </c:pt>
                <c:pt idx="8">
                  <c:v>-7.2964999999385327E-2</c:v>
                </c:pt>
                <c:pt idx="10">
                  <c:v>7.1665000003122259E-2</c:v>
                </c:pt>
                <c:pt idx="11">
                  <c:v>-0.12606999999843538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1-4AC4-B634-25086163EF03}"/>
            </c:ext>
          </c:extLst>
        </c:ser>
        <c:ser>
          <c:idx val="1"/>
          <c:order val="1"/>
          <c:tx>
            <c:strRef>
              <c:f>'Period 0.65'!$I$20:$I$20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0.65'!$I$21:$I$998</c:f>
              <c:numCache>
                <c:formatCode>General</c:formatCode>
                <c:ptCount val="978"/>
                <c:pt idx="9">
                  <c:v>-0.14594499999657273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1-4AC4-B634-25086163EF03}"/>
            </c:ext>
          </c:extLst>
        </c:ser>
        <c:ser>
          <c:idx val="3"/>
          <c:order val="2"/>
          <c:tx>
            <c:strRef>
              <c:f>'Period 0.65'!$J$20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71-4AC4-B634-25086163EF03}"/>
            </c:ext>
          </c:extLst>
        </c:ser>
        <c:ser>
          <c:idx val="4"/>
          <c:order val="3"/>
          <c:tx>
            <c:strRef>
              <c:f>'Period 0.65'!$K$20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71-4AC4-B634-25086163EF03}"/>
            </c:ext>
          </c:extLst>
        </c:ser>
        <c:ser>
          <c:idx val="2"/>
          <c:order val="4"/>
          <c:tx>
            <c:strRef>
              <c:f>'Period 0.65'!$L$20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71-4AC4-B634-25086163EF03}"/>
            </c:ext>
          </c:extLst>
        </c:ser>
        <c:ser>
          <c:idx val="5"/>
          <c:order val="5"/>
          <c:tx>
            <c:strRef>
              <c:f>'Period 0.65'!$M$20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71-4AC4-B634-25086163EF03}"/>
            </c:ext>
          </c:extLst>
        </c:ser>
        <c:ser>
          <c:idx val="6"/>
          <c:order val="6"/>
          <c:tx>
            <c:strRef>
              <c:f>'Period 0.65'!$N$20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'Period 0.65'!$D$21:$D$998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6.0000000000000001E-3</c:v>
                  </c:pt>
                  <c:pt idx="9">
                    <c:v>0.02</c:v>
                  </c:pt>
                  <c:pt idx="10">
                    <c:v>3.0000000000000001E-3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71-4AC4-B634-25086163EF03}"/>
            </c:ext>
          </c:extLst>
        </c:ser>
        <c:ser>
          <c:idx val="7"/>
          <c:order val="7"/>
          <c:tx>
            <c:strRef>
              <c:f>'Period 0.65'!$O$20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0.65'!$F$21:$F$998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27.5</c:v>
                </c:pt>
                <c:pt idx="3">
                  <c:v>29</c:v>
                </c:pt>
                <c:pt idx="4">
                  <c:v>1127</c:v>
                </c:pt>
                <c:pt idx="5">
                  <c:v>1128.5</c:v>
                </c:pt>
                <c:pt idx="6">
                  <c:v>1130</c:v>
                </c:pt>
                <c:pt idx="7">
                  <c:v>3326.5</c:v>
                </c:pt>
                <c:pt idx="8">
                  <c:v>3898.5</c:v>
                </c:pt>
                <c:pt idx="9">
                  <c:v>4440.5</c:v>
                </c:pt>
                <c:pt idx="10">
                  <c:v>5031.5</c:v>
                </c:pt>
                <c:pt idx="11">
                  <c:v>5573</c:v>
                </c:pt>
              </c:numCache>
            </c:numRef>
          </c:xVal>
          <c:yVal>
            <c:numRef>
              <c:f>'Period 0.65'!$O$21:$O$998</c:f>
              <c:numCache>
                <c:formatCode>General</c:formatCode>
                <c:ptCount val="978"/>
                <c:pt idx="7">
                  <c:v>-1.4495566686507477E-2</c:v>
                </c:pt>
                <c:pt idx="8">
                  <c:v>-3.153352309797415E-2</c:v>
                </c:pt>
                <c:pt idx="9">
                  <c:v>-4.7677880396951297E-2</c:v>
                </c:pt>
                <c:pt idx="10">
                  <c:v>-6.5281782912994676E-2</c:v>
                </c:pt>
                <c:pt idx="11">
                  <c:v>-8.1411246893430336E-2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71-4AC4-B634-25086163EF03}"/>
            </c:ext>
          </c:extLst>
        </c:ser>
        <c:ser>
          <c:idx val="8"/>
          <c:order val="8"/>
          <c:tx>
            <c:strRef>
              <c:f>'Period 0.65'!$Y$1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'Period 0.65'!$X$2:$X$27</c:f>
              <c:numCache>
                <c:formatCode>General</c:formatCode>
                <c:ptCount val="2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</c:numCache>
            </c:numRef>
          </c:xVal>
          <c:yVal>
            <c:numRef>
              <c:f>'Period 0.65'!$Y$2:$Y$27</c:f>
              <c:numCache>
                <c:formatCode>General</c:formatCode>
                <c:ptCount val="26"/>
                <c:pt idx="0">
                  <c:v>-1E-4</c:v>
                </c:pt>
                <c:pt idx="1">
                  <c:v>1.49E-2</c:v>
                </c:pt>
                <c:pt idx="2">
                  <c:v>2.7899999999999998E-2</c:v>
                </c:pt>
                <c:pt idx="3">
                  <c:v>3.8899999999999997E-2</c:v>
                </c:pt>
                <c:pt idx="4">
                  <c:v>4.7899999999999998E-2</c:v>
                </c:pt>
                <c:pt idx="5">
                  <c:v>5.4900000000000004E-2</c:v>
                </c:pt>
                <c:pt idx="6">
                  <c:v>5.9900000000000002E-2</c:v>
                </c:pt>
                <c:pt idx="7">
                  <c:v>6.2900000000000011E-2</c:v>
                </c:pt>
                <c:pt idx="8">
                  <c:v>6.3900000000000012E-2</c:v>
                </c:pt>
                <c:pt idx="9">
                  <c:v>6.2900000000000025E-2</c:v>
                </c:pt>
                <c:pt idx="10">
                  <c:v>5.9900000000000023E-2</c:v>
                </c:pt>
                <c:pt idx="11">
                  <c:v>5.4900000000000032E-2</c:v>
                </c:pt>
                <c:pt idx="12">
                  <c:v>4.7900000000000026E-2</c:v>
                </c:pt>
                <c:pt idx="13">
                  <c:v>3.8900000000000046E-2</c:v>
                </c:pt>
                <c:pt idx="14">
                  <c:v>2.7900000000000036E-2</c:v>
                </c:pt>
                <c:pt idx="15">
                  <c:v>1.4900000000000052E-2</c:v>
                </c:pt>
                <c:pt idx="16">
                  <c:v>-9.9999999999988987E-5</c:v>
                </c:pt>
                <c:pt idx="17">
                  <c:v>-1.7099999999999949E-2</c:v>
                </c:pt>
                <c:pt idx="18">
                  <c:v>-3.6099999999999965E-2</c:v>
                </c:pt>
                <c:pt idx="19">
                  <c:v>-5.7099999999999929E-2</c:v>
                </c:pt>
                <c:pt idx="20">
                  <c:v>-8.0099999999999949E-2</c:v>
                </c:pt>
                <c:pt idx="21">
                  <c:v>-0.10509999999999997</c:v>
                </c:pt>
                <c:pt idx="22">
                  <c:v>-0.13209999999999994</c:v>
                </c:pt>
                <c:pt idx="23">
                  <c:v>-0.16109999999999997</c:v>
                </c:pt>
                <c:pt idx="24">
                  <c:v>-0.19209999999999994</c:v>
                </c:pt>
                <c:pt idx="25">
                  <c:v>-0.22509999999999997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71-4AC4-B634-25086163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97048"/>
        <c:axId val="1"/>
      </c:scatterChart>
      <c:valAx>
        <c:axId val="50379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2191924639557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5274044511559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9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947368421052632"/>
          <c:y val="0.91096034228598133"/>
          <c:w val="0.94436090225563918"/>
          <c:h val="0.979453492970912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0.97'!$H$20:$H$20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-3.7667500000679865E-2</c:v>
                </c:pt>
                <c:pt idx="2">
                  <c:v>7.0851500000571832E-2</c:v>
                </c:pt>
                <c:pt idx="3">
                  <c:v>-1.2229500003741123E-2</c:v>
                </c:pt>
                <c:pt idx="4">
                  <c:v>-3.7988500000210479E-2</c:v>
                </c:pt>
                <c:pt idx="5">
                  <c:v>3.3050000638468191E-4</c:v>
                </c:pt>
                <c:pt idx="6">
                  <c:v>3.4494999999878928E-3</c:v>
                </c:pt>
                <c:pt idx="7">
                  <c:v>3.3831500004453119E-2</c:v>
                </c:pt>
                <c:pt idx="9">
                  <c:v>-0.15405350000219187</c:v>
                </c:pt>
                <c:pt idx="10">
                  <c:v>-4.9280000021099113E-3</c:v>
                </c:pt>
                <c:pt idx="11">
                  <c:v>-7.8165999999328051E-2</c:v>
                </c:pt>
                <c:pt idx="12">
                  <c:v>0.10555000000022119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E-40BF-ACEF-E9C1C2B8FBFA}"/>
            </c:ext>
          </c:extLst>
        </c:ser>
        <c:ser>
          <c:idx val="1"/>
          <c:order val="1"/>
          <c:tx>
            <c:strRef>
              <c:f>'Period 0.97'!$I$20:$I$20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0.97'!$I$21:$I$998</c:f>
              <c:numCache>
                <c:formatCode>General</c:formatCode>
                <c:ptCount val="978"/>
                <c:pt idx="8">
                  <c:v>-4.9280000021099113E-3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E-40BF-ACEF-E9C1C2B8FBFA}"/>
            </c:ext>
          </c:extLst>
        </c:ser>
        <c:ser>
          <c:idx val="3"/>
          <c:order val="2"/>
          <c:tx>
            <c:strRef>
              <c:f>'Period 0.97'!$J$20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5E-40BF-ACEF-E9C1C2B8FBFA}"/>
            </c:ext>
          </c:extLst>
        </c:ser>
        <c:ser>
          <c:idx val="4"/>
          <c:order val="3"/>
          <c:tx>
            <c:strRef>
              <c:f>'Period 0.97'!$K$20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5E-40BF-ACEF-E9C1C2B8FBFA}"/>
            </c:ext>
          </c:extLst>
        </c:ser>
        <c:ser>
          <c:idx val="2"/>
          <c:order val="4"/>
          <c:tx>
            <c:strRef>
              <c:f>'Period 0.97'!$L$20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5E-40BF-ACEF-E9C1C2B8FBFA}"/>
            </c:ext>
          </c:extLst>
        </c:ser>
        <c:ser>
          <c:idx val="5"/>
          <c:order val="5"/>
          <c:tx>
            <c:strRef>
              <c:f>'Period 0.97'!$M$20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5E-40BF-ACEF-E9C1C2B8FBFA}"/>
            </c:ext>
          </c:extLst>
        </c:ser>
        <c:ser>
          <c:idx val="6"/>
          <c:order val="6"/>
          <c:tx>
            <c:strRef>
              <c:f>'Period 0.97'!$N$20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0.97'!$D$21:$D$998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2.5000000000000001E-3</c:v>
                  </c:pt>
                  <c:pt idx="8">
                    <c:v>0.02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5E-40BF-ACEF-E9C1C2B8FBFA}"/>
            </c:ext>
          </c:extLst>
        </c:ser>
        <c:ser>
          <c:idx val="7"/>
          <c:order val="7"/>
          <c:tx>
            <c:strRef>
              <c:f>'Period 0.97'!$O$20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0.97'!$F$21:$F$998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  <c:pt idx="4">
                  <c:v>758.5</c:v>
                </c:pt>
                <c:pt idx="5">
                  <c:v>759.5</c:v>
                </c:pt>
                <c:pt idx="6">
                  <c:v>760.5</c:v>
                </c:pt>
                <c:pt idx="7">
                  <c:v>2238.5</c:v>
                </c:pt>
                <c:pt idx="8">
                  <c:v>2988</c:v>
                </c:pt>
                <c:pt idx="9">
                  <c:v>2623.5</c:v>
                </c:pt>
                <c:pt idx="10">
                  <c:v>2988</c:v>
                </c:pt>
                <c:pt idx="11">
                  <c:v>3386</c:v>
                </c:pt>
                <c:pt idx="12">
                  <c:v>3750</c:v>
                </c:pt>
              </c:numCache>
            </c:numRef>
          </c:xVal>
          <c:yVal>
            <c:numRef>
              <c:f>'Period 0.97'!$O$21:$O$998</c:f>
              <c:numCache>
                <c:formatCode>General</c:formatCode>
                <c:ptCount val="978"/>
                <c:pt idx="0">
                  <c:v>-4.5243022807523155E-3</c:v>
                </c:pt>
                <c:pt idx="1">
                  <c:v>-4.5735346636116333E-3</c:v>
                </c:pt>
                <c:pt idx="2">
                  <c:v>-4.5763479426321656E-3</c:v>
                </c:pt>
                <c:pt idx="3">
                  <c:v>-4.5791612216526979E-3</c:v>
                </c:pt>
                <c:pt idx="4">
                  <c:v>-6.6581744178261558E-3</c:v>
                </c:pt>
                <c:pt idx="5">
                  <c:v>-6.6609876968466881E-3</c:v>
                </c:pt>
                <c:pt idx="6">
                  <c:v>-6.6638009758672213E-3</c:v>
                </c:pt>
                <c:pt idx="7">
                  <c:v>-1.0821827368214137E-2</c:v>
                </c:pt>
                <c:pt idx="8">
                  <c:v>-1.2930379994103187E-2</c:v>
                </c:pt>
                <c:pt idx="9">
                  <c:v>-1.1904939791119118E-2</c:v>
                </c:pt>
                <c:pt idx="10">
                  <c:v>-1.2930379994103187E-2</c:v>
                </c:pt>
                <c:pt idx="11">
                  <c:v>-1.4050065044275088E-2</c:v>
                </c:pt>
                <c:pt idx="12">
                  <c:v>-1.507409860774889E-2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5E-40BF-ACEF-E9C1C2B8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96688"/>
        <c:axId val="1"/>
      </c:scatterChart>
      <c:valAx>
        <c:axId val="50379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9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2.00'!$H$20:$H$20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-9.6214999939547852E-3</c:v>
                </c:pt>
                <c:pt idx="2">
                  <c:v>7.1889000006194692E-2</c:v>
                </c:pt>
                <c:pt idx="3">
                  <c:v>-3.8200499999220483E-2</c:v>
                </c:pt>
                <c:pt idx="4">
                  <c:v>4.5489999974961393E-3</c:v>
                </c:pt>
                <c:pt idx="5">
                  <c:v>1.585950000298908E-2</c:v>
                </c:pt>
                <c:pt idx="6">
                  <c:v>-8.0300000045099296E-3</c:v>
                </c:pt>
                <c:pt idx="8">
                  <c:v>0.15936900000087917</c:v>
                </c:pt>
                <c:pt idx="9">
                  <c:v>-0.41289349999715341</c:v>
                </c:pt>
                <c:pt idx="10">
                  <c:v>0.40622350000194274</c:v>
                </c:pt>
                <c:pt idx="11">
                  <c:v>-0.40250250000099186</c:v>
                </c:pt>
                <c:pt idx="12">
                  <c:v>-3.5985499998787418E-2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B-4998-A75D-C6D8594F1F0B}"/>
            </c:ext>
          </c:extLst>
        </c:ser>
        <c:ser>
          <c:idx val="1"/>
          <c:order val="1"/>
          <c:tx>
            <c:strRef>
              <c:f>'Period 2.00'!$I$20:$I$20</c:f>
              <c:strCache>
                <c:ptCount val="1"/>
                <c:pt idx="0">
                  <c:v>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2.00'!$I$21:$I$998</c:f>
              <c:numCache>
                <c:formatCode>General</c:formatCode>
                <c:ptCount val="978"/>
                <c:pt idx="7">
                  <c:v>0.40622350000194274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B-4998-A75D-C6D8594F1F0B}"/>
            </c:ext>
          </c:extLst>
        </c:ser>
        <c:ser>
          <c:idx val="3"/>
          <c:order val="2"/>
          <c:tx>
            <c:strRef>
              <c:f>'Period 2.00'!$J$20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B-4998-A75D-C6D8594F1F0B}"/>
            </c:ext>
          </c:extLst>
        </c:ser>
        <c:ser>
          <c:idx val="4"/>
          <c:order val="3"/>
          <c:tx>
            <c:strRef>
              <c:f>'Period 2.00'!$K$20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B-4998-A75D-C6D8594F1F0B}"/>
            </c:ext>
          </c:extLst>
        </c:ser>
        <c:ser>
          <c:idx val="2"/>
          <c:order val="4"/>
          <c:tx>
            <c:strRef>
              <c:f>'Period 2.00'!$L$20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6B-4998-A75D-C6D8594F1F0B}"/>
            </c:ext>
          </c:extLst>
        </c:ser>
        <c:ser>
          <c:idx val="5"/>
          <c:order val="5"/>
          <c:tx>
            <c:strRef>
              <c:f>'Period 2.00'!$M$20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B-4998-A75D-C6D8594F1F0B}"/>
            </c:ext>
          </c:extLst>
        </c:ser>
        <c:ser>
          <c:idx val="6"/>
          <c:order val="6"/>
          <c:tx>
            <c:strRef>
              <c:f>'Period 2.00'!$N$20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2.00'!$D$21:$D$998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6B-4998-A75D-C6D8594F1F0B}"/>
            </c:ext>
          </c:extLst>
        </c:ser>
        <c:ser>
          <c:idx val="7"/>
          <c:order val="7"/>
          <c:tx>
            <c:strRef>
              <c:f>'Period 2.00'!$O$20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2.00'!$F$21:$F$998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369</c:v>
                </c:pt>
                <c:pt idx="5">
                  <c:v>369.5</c:v>
                </c:pt>
                <c:pt idx="6">
                  <c:v>370</c:v>
                </c:pt>
                <c:pt idx="7">
                  <c:v>1453.5</c:v>
                </c:pt>
                <c:pt idx="8">
                  <c:v>1089</c:v>
                </c:pt>
                <c:pt idx="9">
                  <c:v>1276.5</c:v>
                </c:pt>
                <c:pt idx="10">
                  <c:v>1453.5</c:v>
                </c:pt>
                <c:pt idx="11">
                  <c:v>1647.5</c:v>
                </c:pt>
                <c:pt idx="12">
                  <c:v>1824.5</c:v>
                </c:pt>
              </c:numCache>
            </c:numRef>
          </c:xVal>
          <c:yVal>
            <c:numRef>
              <c:f>'Period 2.00'!$O$21:$O$998</c:f>
              <c:numCache>
                <c:formatCode>General</c:formatCode>
                <c:ptCount val="978"/>
                <c:pt idx="0">
                  <c:v>1.4080630703730782E-2</c:v>
                </c:pt>
                <c:pt idx="1">
                  <c:v>1.405811757694746E-2</c:v>
                </c:pt>
                <c:pt idx="2">
                  <c:v>1.405679327537197E-2</c:v>
                </c:pt>
                <c:pt idx="3">
                  <c:v>1.4055468973796481E-2</c:v>
                </c:pt>
                <c:pt idx="4">
                  <c:v>1.3103296141019495E-2</c:v>
                </c:pt>
                <c:pt idx="5">
                  <c:v>1.3101971839444006E-2</c:v>
                </c:pt>
                <c:pt idx="6">
                  <c:v>1.3100647537868515E-2</c:v>
                </c:pt>
                <c:pt idx="7">
                  <c:v>1.0230886023782663E-2</c:v>
                </c:pt>
                <c:pt idx="8">
                  <c:v>1.1196301872314544E-2</c:v>
                </c:pt>
                <c:pt idx="9">
                  <c:v>1.0699688781505963E-2</c:v>
                </c:pt>
                <c:pt idx="10">
                  <c:v>1.0230886023782663E-2</c:v>
                </c:pt>
                <c:pt idx="11">
                  <c:v>9.7170570124927181E-3</c:v>
                </c:pt>
                <c:pt idx="12">
                  <c:v>9.2482542547694183E-3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6B-4998-A75D-C6D8594F1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03888"/>
        <c:axId val="1"/>
      </c:scatterChart>
      <c:valAx>
        <c:axId val="50380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03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240601503759398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'Period 2.12'!$H$20:$H$20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2.12'!$D$21:$D$238</c:f>
                <c:numCache>
                  <c:formatCode>General</c:formatCode>
                  <c:ptCount val="21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5.0096000006305985E-2</c:v>
                </c:pt>
                <c:pt idx="2">
                  <c:v>7.2752000007312745E-2</c:v>
                </c:pt>
                <c:pt idx="3">
                  <c:v>-9.6191999997245148E-2</c:v>
                </c:pt>
                <c:pt idx="4">
                  <c:v>3.9931999999680556E-2</c:v>
                </c:pt>
                <c:pt idx="5">
                  <c:v>-7.6119999939692207E-3</c:v>
                </c:pt>
                <c:pt idx="6">
                  <c:v>-9.0356000000610948E-2</c:v>
                </c:pt>
                <c:pt idx="8">
                  <c:v>0.26379200000519631</c:v>
                </c:pt>
                <c:pt idx="9">
                  <c:v>-0.11378400000103284</c:v>
                </c:pt>
                <c:pt idx="10">
                  <c:v>1.5476000000489876E-2</c:v>
                </c:pt>
                <c:pt idx="11">
                  <c:v>-0.30342799999925774</c:v>
                </c:pt>
                <c:pt idx="12">
                  <c:v>0.43347599999833619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A7-4970-928A-4BC614416E7E}"/>
            </c:ext>
          </c:extLst>
        </c:ser>
        <c:ser>
          <c:idx val="1"/>
          <c:order val="1"/>
          <c:tx>
            <c:strRef>
              <c:f>'Period 2.12'!$I$20:$I$20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2.12'!$I$21:$I$998</c:f>
              <c:numCache>
                <c:formatCode>General</c:formatCode>
                <c:ptCount val="978"/>
                <c:pt idx="7">
                  <c:v>1.5476000000489876E-2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A7-4970-928A-4BC614416E7E}"/>
            </c:ext>
          </c:extLst>
        </c:ser>
        <c:ser>
          <c:idx val="3"/>
          <c:order val="2"/>
          <c:tx>
            <c:strRef>
              <c:f>'Period 2.12'!$J$20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A7-4970-928A-4BC614416E7E}"/>
            </c:ext>
          </c:extLst>
        </c:ser>
        <c:ser>
          <c:idx val="4"/>
          <c:order val="3"/>
          <c:tx>
            <c:strRef>
              <c:f>'Period 2.12'!$K$20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A7-4970-928A-4BC614416E7E}"/>
            </c:ext>
          </c:extLst>
        </c:ser>
        <c:ser>
          <c:idx val="2"/>
          <c:order val="4"/>
          <c:tx>
            <c:strRef>
              <c:f>'Period 2.12'!$L$20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A7-4970-928A-4BC614416E7E}"/>
            </c:ext>
          </c:extLst>
        </c:ser>
        <c:ser>
          <c:idx val="5"/>
          <c:order val="5"/>
          <c:tx>
            <c:strRef>
              <c:f>'Period 2.12'!$M$20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A7-4970-928A-4BC614416E7E}"/>
            </c:ext>
          </c:extLst>
        </c:ser>
        <c:ser>
          <c:idx val="6"/>
          <c:order val="6"/>
          <c:tx>
            <c:strRef>
              <c:f>'Period 2.12'!$N$20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'Period 2.12'!$D$21:$D$998</c:f>
                <c:numCache>
                  <c:formatCode>General</c:formatCode>
                  <c:ptCount val="978"/>
                  <c:pt idx="0">
                    <c:v>1.6000000000000001E-3</c:v>
                  </c:pt>
                  <c:pt idx="1">
                    <c:v>2.3999999999999998E-3</c:v>
                  </c:pt>
                  <c:pt idx="2">
                    <c:v>7.0000000000000001E-3</c:v>
                  </c:pt>
                  <c:pt idx="3">
                    <c:v>2E-3</c:v>
                  </c:pt>
                  <c:pt idx="4">
                    <c:v>3.0999999999999999E-3</c:v>
                  </c:pt>
                  <c:pt idx="5">
                    <c:v>3.2000000000000002E-3</c:v>
                  </c:pt>
                  <c:pt idx="6">
                    <c:v>5.4000000000000003E-3</c:v>
                  </c:pt>
                  <c:pt idx="7">
                    <c:v>0.02</c:v>
                  </c:pt>
                  <c:pt idx="8">
                    <c:v>2.5000000000000001E-3</c:v>
                  </c:pt>
                  <c:pt idx="9">
                    <c:v>6.0000000000000001E-3</c:v>
                  </c:pt>
                  <c:pt idx="10">
                    <c:v>0.02</c:v>
                  </c:pt>
                  <c:pt idx="11">
                    <c:v>3.0000000000000001E-3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A7-4970-928A-4BC614416E7E}"/>
            </c:ext>
          </c:extLst>
        </c:ser>
        <c:ser>
          <c:idx val="7"/>
          <c:order val="7"/>
          <c:tx>
            <c:strRef>
              <c:f>'Period 2.12'!$O$20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'Period 2.12'!$F$21:$F$998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348.5</c:v>
                </c:pt>
                <c:pt idx="5">
                  <c:v>349</c:v>
                </c:pt>
                <c:pt idx="6">
                  <c:v>349.5</c:v>
                </c:pt>
                <c:pt idx="7">
                  <c:v>1373</c:v>
                </c:pt>
                <c:pt idx="8">
                  <c:v>1028.5</c:v>
                </c:pt>
                <c:pt idx="9">
                  <c:v>1205.5</c:v>
                </c:pt>
                <c:pt idx="10">
                  <c:v>1373</c:v>
                </c:pt>
                <c:pt idx="11">
                  <c:v>1556</c:v>
                </c:pt>
                <c:pt idx="12">
                  <c:v>1723</c:v>
                </c:pt>
              </c:numCache>
            </c:numRef>
          </c:xVal>
          <c:yVal>
            <c:numRef>
              <c:f>'Period 2.12'!$O$21:$O$998</c:f>
              <c:numCache>
                <c:formatCode>General</c:formatCode>
                <c:ptCount val="978"/>
                <c:pt idx="0">
                  <c:v>-9.4825550850536379E-3</c:v>
                </c:pt>
                <c:pt idx="1">
                  <c:v>-9.137143336776175E-3</c:v>
                </c:pt>
                <c:pt idx="2">
                  <c:v>-9.1155551025088339E-3</c:v>
                </c:pt>
                <c:pt idx="3">
                  <c:v>-9.0939668682414928E-3</c:v>
                </c:pt>
                <c:pt idx="4">
                  <c:v>5.5644441992833346E-3</c:v>
                </c:pt>
                <c:pt idx="5">
                  <c:v>5.5860324335506757E-3</c:v>
                </c:pt>
                <c:pt idx="6">
                  <c:v>5.6076206678180168E-3</c:v>
                </c:pt>
                <c:pt idx="7">
                  <c:v>4.9798736213065908E-2</c:v>
                </c:pt>
                <c:pt idx="8">
                  <c:v>3.4924442802867675E-2</c:v>
                </c:pt>
                <c:pt idx="9">
                  <c:v>4.2566677733506531E-2</c:v>
                </c:pt>
                <c:pt idx="10">
                  <c:v>4.9798736213065908E-2</c:v>
                </c:pt>
                <c:pt idx="11">
                  <c:v>5.7700029954912871E-2</c:v>
                </c:pt>
                <c:pt idx="12">
                  <c:v>6.4910500200204918E-2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A7-4970-928A-4BC6144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05328"/>
        <c:axId val="1"/>
      </c:scatterChart>
      <c:valAx>
        <c:axId val="503805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05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18</xdr:col>
      <xdr:colOff>409575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599362-793C-24BE-B3AC-F593F2534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5BBF933A-DF8A-7927-9696-3D146ACD7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18</xdr:col>
      <xdr:colOff>514350</xdr:colOff>
      <xdr:row>16</xdr:row>
      <xdr:rowOff>9525</xdr:rowOff>
    </xdr:to>
    <xdr:graphicFrame macro="">
      <xdr:nvGraphicFramePr>
        <xdr:cNvPr id="60419" name="Chart 1">
          <a:extLst>
            <a:ext uri="{FF2B5EF4-FFF2-40B4-BE49-F238E27FC236}">
              <a16:creationId xmlns:a16="http://schemas.microsoft.com/office/drawing/2014/main" id="{305828A9-709E-5BE2-3CE0-59E844830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2B111959-682E-E6F4-959A-F5E33CC20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4E14E6B-8AB8-A90A-4A3A-AF9169B96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8651D520-68EE-3838-64B5-4D7751A2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5.42578125" customWidth="1"/>
    <col min="3" max="3" width="11.85546875" customWidth="1"/>
    <col min="4" max="4" width="9.42578125" customWidth="1"/>
    <col min="5" max="5" width="18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D1" t="s">
        <v>41</v>
      </c>
    </row>
    <row r="2" spans="1:7" x14ac:dyDescent="0.2">
      <c r="A2" t="s">
        <v>24</v>
      </c>
      <c r="B2" t="s">
        <v>49</v>
      </c>
      <c r="D2" s="33" t="s">
        <v>47</v>
      </c>
    </row>
    <row r="3" spans="1:7" ht="13.5" thickBot="1" x14ac:dyDescent="0.25">
      <c r="D3" s="29" t="s">
        <v>51</v>
      </c>
    </row>
    <row r="4" spans="1:7" ht="14.25" thickTop="1" thickBot="1" x14ac:dyDescent="0.25">
      <c r="A4" s="4" t="s">
        <v>0</v>
      </c>
      <c r="C4" s="7" t="s">
        <v>30</v>
      </c>
      <c r="D4" s="8" t="s">
        <v>30</v>
      </c>
    </row>
    <row r="6" spans="1:7" x14ac:dyDescent="0.2">
      <c r="A6" s="4" t="s">
        <v>1</v>
      </c>
    </row>
    <row r="7" spans="1:7" x14ac:dyDescent="0.2">
      <c r="A7" t="s">
        <v>2</v>
      </c>
      <c r="C7" s="32">
        <v>53446.461499999998</v>
      </c>
    </row>
    <row r="8" spans="1:7" x14ac:dyDescent="0.2">
      <c r="A8" t="s">
        <v>3</v>
      </c>
      <c r="C8" s="9">
        <v>0.35827804464173618</v>
      </c>
      <c r="D8" s="29" t="s">
        <v>39</v>
      </c>
    </row>
    <row r="9" spans="1:7" x14ac:dyDescent="0.2">
      <c r="A9" s="10" t="s">
        <v>32</v>
      </c>
      <c r="B9" s="11"/>
      <c r="C9" s="12">
        <v>-9.5</v>
      </c>
      <c r="D9" s="11" t="s">
        <v>33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4">
        <f ca="1">INTERCEPT(INDIRECT($G$11):G991,INDIRECT($F$11):F991)</f>
        <v>4.148527645528915E-3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x14ac:dyDescent="0.2">
      <c r="A12" s="11" t="s">
        <v>16</v>
      </c>
      <c r="B12" s="11"/>
      <c r="C12" s="24">
        <f ca="1">SLOPE(INDIRECT($G$11):G991,INDIRECT($F$11):F991)</f>
        <v>7.6413148487384904E-7</v>
      </c>
      <c r="D12" s="13"/>
      <c r="E12" s="11"/>
    </row>
    <row r="13" spans="1:7" x14ac:dyDescent="0.2">
      <c r="A13" s="11" t="s">
        <v>19</v>
      </c>
      <c r="B13" s="11"/>
      <c r="C13" s="13" t="s">
        <v>13</v>
      </c>
      <c r="D13" s="13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4" t="s">
        <v>17</v>
      </c>
      <c r="B15" s="11"/>
      <c r="C15" s="15">
        <f ca="1">(C7+C11)+(C8+C12)*INT(MAX(F21:F3532))</f>
        <v>57100.551219205721</v>
      </c>
      <c r="D15" s="16" t="s">
        <v>34</v>
      </c>
      <c r="E15" s="17">
        <f ca="1">TODAY()+15018.5-B9/24</f>
        <v>60315.5</v>
      </c>
    </row>
    <row r="16" spans="1:7" x14ac:dyDescent="0.2">
      <c r="A16" s="18" t="s">
        <v>4</v>
      </c>
      <c r="B16" s="11"/>
      <c r="C16" s="19">
        <f ca="1">+C8+C12</f>
        <v>0.35827880877322105</v>
      </c>
      <c r="D16" s="16" t="s">
        <v>35</v>
      </c>
      <c r="E16" s="17">
        <f ca="1">ROUND(2*(E15-C15)/C16,0)/2+1</f>
        <v>8974.5</v>
      </c>
    </row>
    <row r="17" spans="1:22" ht="13.5" thickBot="1" x14ac:dyDescent="0.25">
      <c r="A17" s="16" t="s">
        <v>31</v>
      </c>
      <c r="B17" s="11"/>
      <c r="C17" s="11">
        <f>COUNT(C21:C2190)</f>
        <v>13</v>
      </c>
      <c r="D17" s="16" t="s">
        <v>36</v>
      </c>
      <c r="E17" s="20">
        <f ca="1">+C15+C16*E16-15018.5-C9/24</f>
        <v>45297.820221874332</v>
      </c>
    </row>
    <row r="18" spans="1:22" ht="14.25" thickTop="1" thickBot="1" x14ac:dyDescent="0.25">
      <c r="A18" s="18" t="s">
        <v>5</v>
      </c>
      <c r="B18" s="11"/>
      <c r="C18" s="21">
        <f ca="1">+C15</f>
        <v>57100.551219205721</v>
      </c>
      <c r="D18" s="22">
        <f ca="1">+C16</f>
        <v>0.35827880877322105</v>
      </c>
      <c r="E18" s="23" t="s">
        <v>37</v>
      </c>
      <c r="V18">
        <f ca="1">SQRT(SUM(V21:V27))</f>
        <v>0.11420879530122696</v>
      </c>
    </row>
    <row r="19" spans="1:22" ht="13.5" thickTop="1" x14ac:dyDescent="0.2">
      <c r="A19" s="27" t="s">
        <v>38</v>
      </c>
      <c r="E19" s="28">
        <v>21</v>
      </c>
    </row>
    <row r="20" spans="1:22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46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22" x14ac:dyDescent="0.2">
      <c r="A21" s="30" t="s">
        <v>40</v>
      </c>
      <c r="B21" s="31"/>
      <c r="C21" s="32">
        <v>53446.461499999998</v>
      </c>
      <c r="D21" s="32">
        <v>1.6000000000000001E-3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4.148527645528915E-3</v>
      </c>
      <c r="Q21" s="2">
        <f t="shared" ref="Q21:Q27" si="3">+C21-15018.5</f>
        <v>38427.961499999998</v>
      </c>
      <c r="V21">
        <f t="shared" ref="V21:V27" ca="1" si="4">+(O21-H21)^2</f>
        <v>1.7210281625717683E-5</v>
      </c>
    </row>
    <row r="22" spans="1:22" x14ac:dyDescent="0.2">
      <c r="A22" s="30" t="s">
        <v>40</v>
      </c>
      <c r="B22" s="31"/>
      <c r="C22" s="32">
        <v>53463.4755</v>
      </c>
      <c r="D22" s="32">
        <v>2.3999999999999998E-3</v>
      </c>
      <c r="E22">
        <f t="shared" si="0"/>
        <v>47.488257386846513</v>
      </c>
      <c r="F22">
        <f t="shared" ref="F22:F29" si="5">ROUND(2*E22,0)/2</f>
        <v>47.5</v>
      </c>
      <c r="G22">
        <f t="shared" si="1"/>
        <v>-4.2071204807143658E-3</v>
      </c>
      <c r="H22">
        <f t="shared" ref="H22:H29" si="6">+G22</f>
        <v>-4.2071204807143658E-3</v>
      </c>
      <c r="O22">
        <f t="shared" ca="1" si="2"/>
        <v>4.1848238910604232E-3</v>
      </c>
      <c r="Q22" s="2">
        <f t="shared" si="3"/>
        <v>38444.9755</v>
      </c>
      <c r="V22">
        <f t="shared" ca="1" si="4"/>
        <v>7.0424730338962567E-5</v>
      </c>
    </row>
    <row r="23" spans="1:22" x14ac:dyDescent="0.2">
      <c r="A23" s="30" t="s">
        <v>40</v>
      </c>
      <c r="B23" s="31"/>
      <c r="C23" s="32">
        <v>53464.558400000002</v>
      </c>
      <c r="D23" s="32">
        <v>7.0000000000000001E-3</v>
      </c>
      <c r="E23">
        <f t="shared" si="0"/>
        <v>50.510770254147943</v>
      </c>
      <c r="F23">
        <f t="shared" si="5"/>
        <v>50.5</v>
      </c>
      <c r="G23">
        <f t="shared" si="1"/>
        <v>3.8587455928791314E-3</v>
      </c>
      <c r="H23">
        <f t="shared" si="6"/>
        <v>3.8587455928791314E-3</v>
      </c>
      <c r="O23">
        <f t="shared" ca="1" si="2"/>
        <v>4.1871162855150442E-3</v>
      </c>
      <c r="Q23" s="2">
        <f t="shared" si="3"/>
        <v>38446.058400000002</v>
      </c>
      <c r="V23">
        <f t="shared" ca="1" si="4"/>
        <v>1.0782731178218907E-7</v>
      </c>
    </row>
    <row r="24" spans="1:22" x14ac:dyDescent="0.2">
      <c r="A24" s="30" t="s">
        <v>40</v>
      </c>
      <c r="B24" s="31"/>
      <c r="C24" s="32">
        <v>53465.449699999997</v>
      </c>
      <c r="D24" s="32">
        <v>2E-3</v>
      </c>
      <c r="E24">
        <f t="shared" si="0"/>
        <v>52.998502933628615</v>
      </c>
      <c r="F24">
        <f t="shared" si="5"/>
        <v>53</v>
      </c>
      <c r="G24">
        <f t="shared" si="1"/>
        <v>-5.3636600932804868E-4</v>
      </c>
      <c r="H24">
        <f t="shared" si="6"/>
        <v>-5.3636600932804868E-4</v>
      </c>
      <c r="O24">
        <f t="shared" ca="1" si="2"/>
        <v>4.1890266142272292E-3</v>
      </c>
      <c r="Q24" s="2">
        <f t="shared" si="3"/>
        <v>38446.949699999997</v>
      </c>
      <c r="V24">
        <f t="shared" ca="1" si="4"/>
        <v>2.232933544675063E-5</v>
      </c>
    </row>
    <row r="25" spans="1:22" x14ac:dyDescent="0.2">
      <c r="A25" s="30" t="s">
        <v>42</v>
      </c>
      <c r="B25" s="35" t="s">
        <v>50</v>
      </c>
      <c r="C25" s="9">
        <v>54185.491499999996</v>
      </c>
      <c r="D25" s="9">
        <v>3.0999999999999999E-3</v>
      </c>
      <c r="E25">
        <f t="shared" si="0"/>
        <v>2062.7275688606583</v>
      </c>
      <c r="F25">
        <f t="shared" si="5"/>
        <v>2062.5</v>
      </c>
      <c r="G25">
        <f t="shared" si="1"/>
        <v>8.1532926415093243E-2</v>
      </c>
      <c r="H25" s="35">
        <f t="shared" si="6"/>
        <v>8.1532926415093243E-2</v>
      </c>
      <c r="O25">
        <f t="shared" ca="1" si="2"/>
        <v>5.7245488330812284E-3</v>
      </c>
      <c r="Q25" s="2">
        <f t="shared" si="3"/>
        <v>39166.991499999996</v>
      </c>
      <c r="V25">
        <f t="shared" ca="1" si="4"/>
        <v>5.7469101116169024E-3</v>
      </c>
    </row>
    <row r="26" spans="1:22" x14ac:dyDescent="0.2">
      <c r="A26" s="30" t="s">
        <v>42</v>
      </c>
      <c r="C26" s="9">
        <v>54186.504200000003</v>
      </c>
      <c r="D26" s="9">
        <v>3.2000000000000002E-3</v>
      </c>
      <c r="E26">
        <f t="shared" si="0"/>
        <v>2065.5541445192903</v>
      </c>
      <c r="F26">
        <f t="shared" si="5"/>
        <v>2065.5</v>
      </c>
      <c r="G26">
        <f t="shared" si="1"/>
        <v>1.9398792501306161E-2</v>
      </c>
      <c r="H26">
        <f t="shared" si="6"/>
        <v>1.9398792501306161E-2</v>
      </c>
      <c r="O26">
        <f t="shared" ca="1" si="2"/>
        <v>5.7268412275358503E-3</v>
      </c>
      <c r="Q26" s="2">
        <f t="shared" si="3"/>
        <v>39168.004200000003</v>
      </c>
      <c r="V26">
        <f t="shared" ca="1" si="4"/>
        <v>1.869222516323496E-4</v>
      </c>
    </row>
    <row r="27" spans="1:22" x14ac:dyDescent="0.2">
      <c r="A27" s="30" t="s">
        <v>42</v>
      </c>
      <c r="B27" s="35" t="s">
        <v>50</v>
      </c>
      <c r="C27" s="9">
        <v>54187.481699999997</v>
      </c>
      <c r="D27" s="9">
        <v>5.4000000000000003E-3</v>
      </c>
      <c r="E27">
        <f t="shared" si="0"/>
        <v>2068.2824724607108</v>
      </c>
      <c r="F27">
        <f t="shared" si="5"/>
        <v>2068.5</v>
      </c>
      <c r="G27">
        <f t="shared" si="1"/>
        <v>-7.7935341432748828E-2</v>
      </c>
      <c r="H27" s="35">
        <f t="shared" si="6"/>
        <v>-7.7935341432748828E-2</v>
      </c>
      <c r="O27">
        <f t="shared" ca="1" si="2"/>
        <v>5.7291336219904721E-3</v>
      </c>
      <c r="Q27" s="2">
        <f t="shared" si="3"/>
        <v>39168.981699999997</v>
      </c>
      <c r="V27">
        <f t="shared" ca="1" si="4"/>
        <v>6.9997443861850948E-3</v>
      </c>
    </row>
    <row r="28" spans="1:22" x14ac:dyDescent="0.2">
      <c r="A28" s="34" t="s">
        <v>45</v>
      </c>
      <c r="C28" s="9">
        <v>56357.906999999999</v>
      </c>
      <c r="D28" s="9">
        <v>0.02</v>
      </c>
      <c r="E28">
        <f t="shared" ref="E28:E33" si="7">+(C28-C$7)/C$8</f>
        <v>8126.218012916006</v>
      </c>
      <c r="F28">
        <f t="shared" si="5"/>
        <v>8126</v>
      </c>
      <c r="G28">
        <f t="shared" ref="G28:G33" si="8">+C28-(C$7+F28*C$8)</f>
        <v>7.8109241250785999E-2</v>
      </c>
      <c r="I28">
        <f>+G28</f>
        <v>7.8109241250785999E-2</v>
      </c>
      <c r="O28">
        <f t="shared" ref="O28:O33" ca="1" si="9">+C$11+C$12*$F28</f>
        <v>1.0357860091613812E-2</v>
      </c>
      <c r="Q28" s="2">
        <f t="shared" ref="Q28:Q33" si="10">+C28-15018.5</f>
        <v>41339.406999999999</v>
      </c>
      <c r="V28">
        <f ca="1">+(O28-I28)^2</f>
        <v>4.5902496489754327E-3</v>
      </c>
    </row>
    <row r="29" spans="1:22" x14ac:dyDescent="0.2">
      <c r="A29" s="36" t="s">
        <v>52</v>
      </c>
      <c r="B29" s="37" t="s">
        <v>53</v>
      </c>
      <c r="C29" s="36">
        <v>55627.647199999999</v>
      </c>
      <c r="D29" s="36">
        <v>2.5000000000000001E-3</v>
      </c>
      <c r="E29">
        <f t="shared" si="7"/>
        <v>6087.9691977249149</v>
      </c>
      <c r="F29">
        <f t="shared" si="5"/>
        <v>6088</v>
      </c>
      <c r="G29">
        <f t="shared" si="8"/>
        <v>-1.1035778887162451E-2</v>
      </c>
      <c r="H29">
        <f t="shared" si="6"/>
        <v>-1.1035778887162451E-2</v>
      </c>
      <c r="O29">
        <f t="shared" ca="1" si="9"/>
        <v>8.8005601254409083E-3</v>
      </c>
      <c r="Q29" s="2">
        <f t="shared" si="10"/>
        <v>40609.147199999999</v>
      </c>
      <c r="V29">
        <f ca="1">+(O29-H29)^2</f>
        <v>3.9348034542292993E-4</v>
      </c>
    </row>
    <row r="30" spans="1:22" x14ac:dyDescent="0.2">
      <c r="A30" s="63" t="s">
        <v>69</v>
      </c>
      <c r="B30" s="63" t="s">
        <v>53</v>
      </c>
      <c r="C30" s="64">
        <v>56002.595999999998</v>
      </c>
      <c r="D30" s="64">
        <v>6.0000000000000001E-3</v>
      </c>
      <c r="E30">
        <f t="shared" si="7"/>
        <v>7134.4994152684767</v>
      </c>
      <c r="F30">
        <f>ROUND(2*E30,0)/2</f>
        <v>7134.5</v>
      </c>
      <c r="G30">
        <f t="shared" si="8"/>
        <v>-2.0949646568624303E-4</v>
      </c>
      <c r="H30">
        <f>+G30</f>
        <v>-2.0949646568624303E-4</v>
      </c>
      <c r="O30">
        <f t="shared" ca="1" si="9"/>
        <v>9.6002237243613918E-3</v>
      </c>
      <c r="Q30" s="2">
        <f t="shared" si="10"/>
        <v>40984.095999999998</v>
      </c>
      <c r="V30">
        <f ca="1">+(O30-H30)^2</f>
        <v>9.6230610207028209E-5</v>
      </c>
    </row>
    <row r="31" spans="1:22" x14ac:dyDescent="0.2">
      <c r="A31" s="34" t="s">
        <v>70</v>
      </c>
      <c r="C31" s="9">
        <v>56357.906999999999</v>
      </c>
      <c r="D31" s="9">
        <v>0.02</v>
      </c>
      <c r="E31">
        <f t="shared" si="7"/>
        <v>8126.218012916006</v>
      </c>
      <c r="F31">
        <f>ROUND(2*E31,0)/2</f>
        <v>8126</v>
      </c>
      <c r="G31">
        <f t="shared" si="8"/>
        <v>7.8109241250785999E-2</v>
      </c>
      <c r="H31">
        <f>+G31</f>
        <v>7.8109241250785999E-2</v>
      </c>
      <c r="O31">
        <f t="shared" ca="1" si="9"/>
        <v>1.0357860091613812E-2</v>
      </c>
      <c r="Q31" s="2">
        <f t="shared" si="10"/>
        <v>41339.406999999999</v>
      </c>
      <c r="V31">
        <f ca="1">+(O31-H31)^2</f>
        <v>4.5902496489754327E-3</v>
      </c>
    </row>
    <row r="32" spans="1:22" x14ac:dyDescent="0.2">
      <c r="A32" s="65" t="s">
        <v>71</v>
      </c>
      <c r="B32" s="66" t="s">
        <v>53</v>
      </c>
      <c r="C32" s="65">
        <v>56745.6374</v>
      </c>
      <c r="D32" s="65">
        <v>3.0000000000000001E-3</v>
      </c>
      <c r="E32">
        <f t="shared" si="7"/>
        <v>9208.4233163074423</v>
      </c>
      <c r="F32">
        <f>ROUND(2*E32,0)/2</f>
        <v>9208.5</v>
      </c>
      <c r="G32">
        <f t="shared" si="8"/>
        <v>-2.747408342838753E-2</v>
      </c>
      <c r="H32">
        <f>+G32</f>
        <v>-2.747408342838753E-2</v>
      </c>
      <c r="O32">
        <f t="shared" ca="1" si="9"/>
        <v>1.1185032423989754E-2</v>
      </c>
      <c r="Q32" s="2">
        <f t="shared" si="10"/>
        <v>41727.1374</v>
      </c>
      <c r="V32">
        <f ca="1">+(O32-H32)^2</f>
        <v>1.4945272384875288E-3</v>
      </c>
    </row>
    <row r="33" spans="1:22" x14ac:dyDescent="0.2">
      <c r="A33" s="67" t="s">
        <v>72</v>
      </c>
      <c r="B33" s="68"/>
      <c r="C33" s="67">
        <v>57100.495799999997</v>
      </c>
      <c r="D33" s="67">
        <v>8.0000000000000004E-4</v>
      </c>
      <c r="E33">
        <f t="shared" si="7"/>
        <v>10198.878649273327</v>
      </c>
      <c r="F33">
        <f>ROUND(2*E33,0)/2</f>
        <v>10199</v>
      </c>
      <c r="G33">
        <f t="shared" si="8"/>
        <v>-4.3477301071106922E-2</v>
      </c>
      <c r="H33">
        <f>+G33</f>
        <v>-4.3477301071106922E-2</v>
      </c>
      <c r="O33">
        <f t="shared" ca="1" si="9"/>
        <v>1.1941904659757301E-2</v>
      </c>
      <c r="Q33" s="2">
        <f t="shared" si="10"/>
        <v>42081.995799999997</v>
      </c>
      <c r="V33">
        <f ca="1">+(O33-H33)^2</f>
        <v>3.0712883638398538E-3</v>
      </c>
    </row>
    <row r="34" spans="1:22" x14ac:dyDescent="0.2">
      <c r="C34" s="9"/>
      <c r="D34" s="9"/>
    </row>
    <row r="35" spans="1:22" x14ac:dyDescent="0.2">
      <c r="C35" s="9"/>
      <c r="D35" s="9"/>
    </row>
    <row r="36" spans="1:22" x14ac:dyDescent="0.2">
      <c r="C36" s="9"/>
      <c r="D36" s="9"/>
    </row>
    <row r="37" spans="1:22" x14ac:dyDescent="0.2">
      <c r="C37" s="9"/>
      <c r="D37" s="9"/>
    </row>
    <row r="38" spans="1:22" x14ac:dyDescent="0.2">
      <c r="C38" s="9"/>
      <c r="D38" s="9"/>
    </row>
    <row r="39" spans="1:22" x14ac:dyDescent="0.2">
      <c r="C39" s="9"/>
      <c r="D39" s="9"/>
    </row>
    <row r="40" spans="1:22" x14ac:dyDescent="0.2">
      <c r="C40" s="9"/>
      <c r="D40" s="9"/>
    </row>
    <row r="41" spans="1:22" x14ac:dyDescent="0.2">
      <c r="C41" s="9"/>
      <c r="D41" s="9"/>
    </row>
    <row r="42" spans="1:22" x14ac:dyDescent="0.2">
      <c r="C42" s="9"/>
      <c r="D42" s="9"/>
    </row>
    <row r="43" spans="1:22" x14ac:dyDescent="0.2"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9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D1" t="s">
        <v>41</v>
      </c>
    </row>
    <row r="2" spans="1:7" x14ac:dyDescent="0.2">
      <c r="A2" t="s">
        <v>24</v>
      </c>
      <c r="B2" t="s">
        <v>49</v>
      </c>
      <c r="D2" s="33" t="s">
        <v>47</v>
      </c>
    </row>
    <row r="3" spans="1:7" ht="13.5" thickBot="1" x14ac:dyDescent="0.25"/>
    <row r="4" spans="1:7" ht="14.25" thickTop="1" thickBot="1" x14ac:dyDescent="0.25">
      <c r="A4" s="4" t="s">
        <v>0</v>
      </c>
      <c r="C4" s="7" t="s">
        <v>30</v>
      </c>
      <c r="D4" s="8" t="s">
        <v>30</v>
      </c>
    </row>
    <row r="6" spans="1:7" x14ac:dyDescent="0.2">
      <c r="A6" s="4" t="s">
        <v>1</v>
      </c>
    </row>
    <row r="7" spans="1:7" x14ac:dyDescent="0.2">
      <c r="A7" t="s">
        <v>2</v>
      </c>
      <c r="C7" s="32">
        <v>53446.461499999998</v>
      </c>
    </row>
    <row r="8" spans="1:7" x14ac:dyDescent="0.2">
      <c r="A8" t="s">
        <v>3</v>
      </c>
      <c r="C8" s="32">
        <v>0.58549150000000005</v>
      </c>
      <c r="D8" s="29" t="s">
        <v>43</v>
      </c>
    </row>
    <row r="9" spans="1:7" x14ac:dyDescent="0.2">
      <c r="A9" s="10" t="s">
        <v>32</v>
      </c>
      <c r="B9" s="11"/>
      <c r="C9" s="12">
        <v>-9.5</v>
      </c>
      <c r="D9" s="11" t="s">
        <v>33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4">
        <f ca="1">INTERCEPT(INDIRECT($G$11):G991,INDIRECT($F$11):F991)</f>
        <v>1.334850147398365E-2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x14ac:dyDescent="0.2">
      <c r="A12" s="11" t="s">
        <v>16</v>
      </c>
      <c r="B12" s="11"/>
      <c r="C12" s="24">
        <f ca="1">SLOPE(INDIRECT($G$11):G991,INDIRECT($F$11):F991)</f>
        <v>-3.6574872885558126E-6</v>
      </c>
      <c r="D12" s="13"/>
      <c r="E12" s="11"/>
    </row>
    <row r="13" spans="1:7" x14ac:dyDescent="0.2">
      <c r="A13" s="11" t="s">
        <v>19</v>
      </c>
      <c r="B13" s="11"/>
      <c r="C13" s="13" t="s">
        <v>13</v>
      </c>
      <c r="D13" s="13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4" t="s">
        <v>17</v>
      </c>
      <c r="B15" s="11"/>
      <c r="C15" s="15">
        <f ca="1">(C7+C11)+(C8+C12)*INT(MAX(F21:F3532))</f>
        <v>57100.504473623303</v>
      </c>
      <c r="D15" s="16" t="s">
        <v>34</v>
      </c>
      <c r="E15" s="17">
        <f ca="1">TODAY()+15018.5-B9/24</f>
        <v>60315.5</v>
      </c>
    </row>
    <row r="16" spans="1:7" x14ac:dyDescent="0.2">
      <c r="A16" s="18" t="s">
        <v>4</v>
      </c>
      <c r="B16" s="11"/>
      <c r="C16" s="19">
        <f ca="1">+C8+C12</f>
        <v>0.58548784251271146</v>
      </c>
      <c r="D16" s="16" t="s">
        <v>35</v>
      </c>
      <c r="E16" s="17">
        <f ca="1">ROUND(2*(E15-C15)/C16,0)/2+1</f>
        <v>5492</v>
      </c>
    </row>
    <row r="17" spans="1:22" ht="13.5" thickBot="1" x14ac:dyDescent="0.25">
      <c r="A17" s="16" t="s">
        <v>31</v>
      </c>
      <c r="B17" s="11"/>
      <c r="C17" s="11">
        <f>COUNT(C21:C2190)</f>
        <v>13</v>
      </c>
      <c r="D17" s="16" t="s">
        <v>36</v>
      </c>
      <c r="E17" s="20">
        <f ca="1">+C15+C16*E16-15018.5-C9/24</f>
        <v>45297.89953803645</v>
      </c>
    </row>
    <row r="18" spans="1:22" ht="14.25" thickTop="1" thickBot="1" x14ac:dyDescent="0.25">
      <c r="A18" s="18" t="s">
        <v>5</v>
      </c>
      <c r="B18" s="11"/>
      <c r="C18" s="21">
        <f ca="1">+C15</f>
        <v>57100.504473623303</v>
      </c>
      <c r="D18" s="22">
        <f ca="1">+C16</f>
        <v>0.58548784251271146</v>
      </c>
      <c r="E18" s="23" t="s">
        <v>37</v>
      </c>
      <c r="V18">
        <f ca="1">SQRT(SUM(V21:V27))</f>
        <v>0.17612742187575964</v>
      </c>
    </row>
    <row r="19" spans="1:22" ht="13.5" thickTop="1" x14ac:dyDescent="0.2">
      <c r="A19" s="27" t="s">
        <v>38</v>
      </c>
      <c r="E19" s="28">
        <v>21</v>
      </c>
    </row>
    <row r="20" spans="1:22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46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22" x14ac:dyDescent="0.2">
      <c r="A21" s="30" t="s">
        <v>40</v>
      </c>
      <c r="B21" s="31"/>
      <c r="C21" s="32">
        <v>53446.461499999998</v>
      </c>
      <c r="D21" s="32">
        <v>1.6000000000000001E-3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7" si="3">+G21</f>
        <v>0</v>
      </c>
      <c r="O21">
        <f t="shared" ref="O21:O29" ca="1" si="4">+C$11+C$12*$F21</f>
        <v>1.334850147398365E-2</v>
      </c>
      <c r="Q21" s="2">
        <f t="shared" ref="Q21:Q29" si="5">+C21-15018.5</f>
        <v>38427.961499999998</v>
      </c>
      <c r="V21">
        <f t="shared" ref="V21:V27" ca="1" si="6">+(O21-H21)^2</f>
        <v>1.7818249160094366E-4</v>
      </c>
    </row>
    <row r="22" spans="1:22" x14ac:dyDescent="0.2">
      <c r="A22" s="30" t="s">
        <v>40</v>
      </c>
      <c r="B22" s="31"/>
      <c r="C22" s="32">
        <v>53463.4755</v>
      </c>
      <c r="D22" s="32">
        <v>2.3999999999999998E-3</v>
      </c>
      <c r="E22">
        <f t="shared" si="0"/>
        <v>29.05934586582871</v>
      </c>
      <c r="F22">
        <f t="shared" si="1"/>
        <v>29</v>
      </c>
      <c r="G22">
        <f t="shared" si="2"/>
        <v>3.4746500001347158E-2</v>
      </c>
      <c r="H22">
        <f t="shared" si="3"/>
        <v>3.4746500001347158E-2</v>
      </c>
      <c r="O22">
        <f t="shared" ca="1" si="4"/>
        <v>1.3242434342615531E-2</v>
      </c>
      <c r="Q22" s="2">
        <f t="shared" si="5"/>
        <v>38444.9755</v>
      </c>
      <c r="V22">
        <f t="shared" ca="1" si="6"/>
        <v>4.6242483985504089E-4</v>
      </c>
    </row>
    <row r="23" spans="1:22" x14ac:dyDescent="0.2">
      <c r="A23" s="30" t="s">
        <v>40</v>
      </c>
      <c r="B23" s="31"/>
      <c r="C23" s="32">
        <v>53464.558400000002</v>
      </c>
      <c r="D23" s="32">
        <v>7.0000000000000001E-3</v>
      </c>
      <c r="E23">
        <f t="shared" si="0"/>
        <v>30.908903032758111</v>
      </c>
      <c r="F23">
        <f t="shared" si="1"/>
        <v>31</v>
      </c>
      <c r="G23">
        <f t="shared" si="2"/>
        <v>-5.3336499993747566E-2</v>
      </c>
      <c r="H23">
        <f t="shared" si="3"/>
        <v>-5.3336499993747566E-2</v>
      </c>
      <c r="O23">
        <f t="shared" ca="1" si="4"/>
        <v>1.3235119368038419E-2</v>
      </c>
      <c r="Q23" s="2">
        <f t="shared" si="5"/>
        <v>38446.058400000002</v>
      </c>
      <c r="V23">
        <f t="shared" ca="1" si="6"/>
        <v>4.4317805044505193E-3</v>
      </c>
    </row>
    <row r="24" spans="1:22" x14ac:dyDescent="0.2">
      <c r="A24" s="30" t="s">
        <v>40</v>
      </c>
      <c r="B24" s="31"/>
      <c r="C24" s="32">
        <v>53465.449699999997</v>
      </c>
      <c r="D24" s="32">
        <v>2E-3</v>
      </c>
      <c r="E24">
        <f t="shared" si="0"/>
        <v>32.43121377509285</v>
      </c>
      <c r="F24">
        <f t="shared" si="1"/>
        <v>32.5</v>
      </c>
      <c r="G24">
        <f t="shared" si="2"/>
        <v>-4.027374999714084E-2</v>
      </c>
      <c r="H24">
        <f t="shared" si="3"/>
        <v>-4.027374999714084E-2</v>
      </c>
      <c r="O24">
        <f t="shared" ca="1" si="4"/>
        <v>1.3229633137105585E-2</v>
      </c>
      <c r="Q24" s="2">
        <f t="shared" si="5"/>
        <v>38446.949699999997</v>
      </c>
      <c r="V24">
        <f t="shared" ca="1" si="6"/>
        <v>2.8626120068099645E-3</v>
      </c>
    </row>
    <row r="25" spans="1:22" x14ac:dyDescent="0.2">
      <c r="A25" s="30" t="s">
        <v>42</v>
      </c>
      <c r="C25" s="9">
        <v>54185.491499999996</v>
      </c>
      <c r="D25" s="9">
        <v>3.0999999999999999E-3</v>
      </c>
      <c r="E25">
        <f t="shared" si="0"/>
        <v>1262.2386490666368</v>
      </c>
      <c r="F25">
        <f t="shared" si="1"/>
        <v>1262</v>
      </c>
      <c r="G25">
        <f t="shared" si="2"/>
        <v>0.13972700000158511</v>
      </c>
      <c r="H25">
        <f t="shared" si="3"/>
        <v>0.13972700000158511</v>
      </c>
      <c r="O25">
        <f t="shared" ca="1" si="4"/>
        <v>8.732752515826215E-3</v>
      </c>
      <c r="Q25" s="2">
        <f t="shared" si="5"/>
        <v>39166.991499999996</v>
      </c>
      <c r="V25">
        <f t="shared" ca="1" si="6"/>
        <v>1.7159492874360249E-2</v>
      </c>
    </row>
    <row r="26" spans="1:22" x14ac:dyDescent="0.2">
      <c r="A26" s="30" t="s">
        <v>42</v>
      </c>
      <c r="C26" s="9">
        <v>54186.504200000003</v>
      </c>
      <c r="D26" s="9">
        <v>3.2000000000000002E-3</v>
      </c>
      <c r="E26">
        <f t="shared" si="0"/>
        <v>1263.9683069694527</v>
      </c>
      <c r="F26">
        <f t="shared" si="1"/>
        <v>1264</v>
      </c>
      <c r="G26">
        <f t="shared" si="2"/>
        <v>-1.8555999995442107E-2</v>
      </c>
      <c r="H26">
        <f t="shared" si="3"/>
        <v>-1.8555999995442107E-2</v>
      </c>
      <c r="O26">
        <f t="shared" ca="1" si="4"/>
        <v>8.7254375412491036E-3</v>
      </c>
      <c r="Q26" s="2">
        <f t="shared" si="5"/>
        <v>39168.004200000003</v>
      </c>
      <c r="V26">
        <f t="shared" ca="1" si="6"/>
        <v>7.4427683406838422E-4</v>
      </c>
    </row>
    <row r="27" spans="1:22" x14ac:dyDescent="0.2">
      <c r="A27" s="30" t="s">
        <v>42</v>
      </c>
      <c r="C27" s="9">
        <v>54187.481699999997</v>
      </c>
      <c r="D27" s="9">
        <v>5.4000000000000003E-3</v>
      </c>
      <c r="E27">
        <f t="shared" si="0"/>
        <v>1265.6378444435127</v>
      </c>
      <c r="F27">
        <f t="shared" si="1"/>
        <v>1265.5</v>
      </c>
      <c r="G27">
        <f t="shared" si="2"/>
        <v>8.0706749999080785E-2</v>
      </c>
      <c r="H27">
        <f t="shared" si="3"/>
        <v>8.0706749999080785E-2</v>
      </c>
      <c r="O27">
        <f t="shared" ca="1" si="4"/>
        <v>8.7199513103162693E-3</v>
      </c>
      <c r="Q27" s="2">
        <f t="shared" si="5"/>
        <v>39168.981699999997</v>
      </c>
      <c r="V27">
        <f t="shared" ca="1" si="6"/>
        <v>5.1820991854567072E-3</v>
      </c>
    </row>
    <row r="28" spans="1:22" x14ac:dyDescent="0.2">
      <c r="A28" s="34" t="s">
        <v>45</v>
      </c>
      <c r="C28" s="9">
        <v>56357.906999999999</v>
      </c>
      <c r="D28" s="9">
        <v>0.02</v>
      </c>
      <c r="E28">
        <f t="shared" si="0"/>
        <v>4972.6520367930216</v>
      </c>
      <c r="F28">
        <f t="shared" si="1"/>
        <v>4972.5</v>
      </c>
      <c r="G28">
        <f t="shared" si="2"/>
        <v>8.901624999998603E-2</v>
      </c>
      <c r="I28">
        <f>+G28</f>
        <v>8.901624999998603E-2</v>
      </c>
      <c r="O28">
        <f t="shared" ca="1" si="4"/>
        <v>-4.8383540683601296E-3</v>
      </c>
      <c r="Q28" s="2">
        <f t="shared" si="5"/>
        <v>41339.406999999999</v>
      </c>
      <c r="V28">
        <f ca="1">+(O28-I28)^2</f>
        <v>8.8086867048260183E-3</v>
      </c>
    </row>
    <row r="29" spans="1:22" x14ac:dyDescent="0.2">
      <c r="A29" s="36" t="s">
        <v>52</v>
      </c>
      <c r="B29" s="37" t="s">
        <v>53</v>
      </c>
      <c r="C29" s="36">
        <v>55627.647199999999</v>
      </c>
      <c r="D29" s="36">
        <v>2.5000000000000001E-3</v>
      </c>
      <c r="E29">
        <f t="shared" si="0"/>
        <v>3725.3925975014181</v>
      </c>
      <c r="F29">
        <f t="shared" si="1"/>
        <v>3725.5</v>
      </c>
      <c r="G29">
        <f t="shared" si="2"/>
        <v>-6.2883250000595581E-2</v>
      </c>
      <c r="H29">
        <f>+G29</f>
        <v>-6.2883250000595581E-2</v>
      </c>
      <c r="O29">
        <f t="shared" ca="1" si="4"/>
        <v>-2.774674195310297E-4</v>
      </c>
      <c r="Q29" s="2">
        <f t="shared" si="5"/>
        <v>40609.147199999999</v>
      </c>
      <c r="V29">
        <f ca="1">+(O29-H29)^2</f>
        <v>3.9194840125875265E-3</v>
      </c>
    </row>
    <row r="30" spans="1:22" x14ac:dyDescent="0.2">
      <c r="A30" s="63" t="s">
        <v>69</v>
      </c>
      <c r="B30" s="63" t="s">
        <v>53</v>
      </c>
      <c r="C30" s="64">
        <v>56002.595999999998</v>
      </c>
      <c r="D30" s="64">
        <v>6.0000000000000001E-3</v>
      </c>
      <c r="E30">
        <f>+(C30-C$7)/C$8</f>
        <v>4365.7926716271713</v>
      </c>
      <c r="F30">
        <f>ROUND(2*E30,0)/2</f>
        <v>4366</v>
      </c>
      <c r="G30">
        <f>+C30-(C$7+F30*C$8)</f>
        <v>-0.12138899999990826</v>
      </c>
      <c r="H30">
        <f>+G30</f>
        <v>-0.12138899999990826</v>
      </c>
      <c r="O30">
        <f ca="1">+C$11+C$12*$F30</f>
        <v>-2.6200880278510266E-3</v>
      </c>
      <c r="Q30" s="2">
        <f>+C30-15018.5</f>
        <v>40984.095999999998</v>
      </c>
      <c r="V30">
        <f ca="1">+(O30-H30)^2</f>
        <v>1.4106054451026282E-2</v>
      </c>
    </row>
    <row r="31" spans="1:22" x14ac:dyDescent="0.2">
      <c r="A31" s="34" t="s">
        <v>70</v>
      </c>
      <c r="C31" s="9">
        <v>56357.906999999999</v>
      </c>
      <c r="D31" s="9">
        <v>0.02</v>
      </c>
      <c r="E31">
        <f>+(C31-C$7)/C$8</f>
        <v>4972.6520367930216</v>
      </c>
      <c r="F31">
        <f>ROUND(2*E31,0)/2</f>
        <v>4972.5</v>
      </c>
      <c r="G31">
        <f>+C31-(C$7+F31*C$8)</f>
        <v>8.901624999998603E-2</v>
      </c>
      <c r="H31">
        <f>+G31</f>
        <v>8.901624999998603E-2</v>
      </c>
      <c r="O31">
        <f ca="1">+C$11+C$12*$F31</f>
        <v>-4.8383540683601296E-3</v>
      </c>
      <c r="Q31" s="2">
        <f>+C31-15018.5</f>
        <v>41339.406999999999</v>
      </c>
      <c r="V31">
        <f ca="1">+(O31-H31)^2</f>
        <v>8.8086867048260183E-3</v>
      </c>
    </row>
    <row r="32" spans="1:22" x14ac:dyDescent="0.2">
      <c r="A32" s="65" t="s">
        <v>71</v>
      </c>
      <c r="B32" s="66" t="s">
        <v>53</v>
      </c>
      <c r="C32" s="65">
        <v>56745.6374</v>
      </c>
      <c r="D32" s="65">
        <v>3.0000000000000001E-3</v>
      </c>
      <c r="E32">
        <f>+(C32-C$7)/C$8</f>
        <v>5634.8826584160515</v>
      </c>
      <c r="F32">
        <f>ROUND(2*E32,0)/2</f>
        <v>5635</v>
      </c>
      <c r="G32">
        <f>+C32-(C$7+F32*C$8)</f>
        <v>-6.8702500000654254E-2</v>
      </c>
      <c r="H32">
        <f>+G32</f>
        <v>-6.8702500000654254E-2</v>
      </c>
      <c r="O32">
        <f ca="1">+C$11+C$12*$F32</f>
        <v>-7.2614393970283561E-3</v>
      </c>
      <c r="Q32" s="2">
        <f>+C32-15018.5</f>
        <v>41727.1374</v>
      </c>
      <c r="V32">
        <f ca="1">+(O32-H32)^2</f>
        <v>3.7750039280984304E-3</v>
      </c>
    </row>
    <row r="33" spans="1:22" x14ac:dyDescent="0.2">
      <c r="A33" s="67" t="s">
        <v>72</v>
      </c>
      <c r="B33" s="68"/>
      <c r="C33" s="67">
        <v>57100.495799999997</v>
      </c>
      <c r="D33" s="67">
        <v>8.0000000000000004E-4</v>
      </c>
      <c r="E33">
        <f>+(C33-C$7)/C$8</f>
        <v>6240.9689978419819</v>
      </c>
      <c r="F33">
        <f>ROUND(2*E33,0)/2</f>
        <v>6241</v>
      </c>
      <c r="G33">
        <f>+C33-(C$7+F33*C$8)</f>
        <v>-1.8151500000385568E-2</v>
      </c>
      <c r="H33">
        <f>+G33</f>
        <v>-1.8151500000385568E-2</v>
      </c>
      <c r="O33">
        <f ca="1">+C$11+C$12*$F33</f>
        <v>-9.4778766938931752E-3</v>
      </c>
      <c r="Q33" s="2">
        <f>+C33-15018.5</f>
        <v>42081.995799999997</v>
      </c>
      <c r="V33">
        <f ca="1">+(O33-H33)^2</f>
        <v>7.5231741262928018E-5</v>
      </c>
    </row>
    <row r="34" spans="1:22" x14ac:dyDescent="0.2">
      <c r="C34" s="9"/>
      <c r="D34" s="9"/>
    </row>
    <row r="35" spans="1:22" x14ac:dyDescent="0.2">
      <c r="C35" s="9"/>
      <c r="D35" s="9"/>
    </row>
    <row r="36" spans="1:22" x14ac:dyDescent="0.2">
      <c r="C36" s="9"/>
      <c r="D36" s="9"/>
    </row>
    <row r="37" spans="1:22" x14ac:dyDescent="0.2">
      <c r="C37" s="9"/>
      <c r="D37" s="9"/>
    </row>
    <row r="38" spans="1:22" x14ac:dyDescent="0.2">
      <c r="C38" s="9"/>
      <c r="D38" s="9"/>
    </row>
    <row r="39" spans="1:22" x14ac:dyDescent="0.2">
      <c r="C39" s="9"/>
      <c r="D39" s="9"/>
    </row>
    <row r="40" spans="1:22" x14ac:dyDescent="0.2">
      <c r="C40" s="9"/>
      <c r="D40" s="9"/>
    </row>
    <row r="41" spans="1:22" x14ac:dyDescent="0.2">
      <c r="C41" s="9"/>
      <c r="D41" s="9"/>
    </row>
    <row r="42" spans="1:22" x14ac:dyDescent="0.2">
      <c r="C42" s="9"/>
      <c r="D42" s="9"/>
    </row>
    <row r="43" spans="1:22" x14ac:dyDescent="0.2"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Y6939"/>
  <sheetViews>
    <sheetView workbookViewId="0">
      <selection activeCell="A29" sqref="A29:D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5" ht="21" thickBot="1" x14ac:dyDescent="0.35">
      <c r="A1" s="1" t="s">
        <v>44</v>
      </c>
      <c r="X1" s="3" t="s">
        <v>10</v>
      </c>
      <c r="Y1" s="5" t="s">
        <v>22</v>
      </c>
    </row>
    <row r="2" spans="1:25" x14ac:dyDescent="0.2">
      <c r="A2" t="s">
        <v>24</v>
      </c>
      <c r="B2" t="s">
        <v>49</v>
      </c>
      <c r="D2" s="33" t="s">
        <v>47</v>
      </c>
      <c r="X2" s="52">
        <v>0</v>
      </c>
      <c r="Y2" s="52">
        <f t="shared" ref="Y2:Y21" si="0">+D$11+D$12*X2+D$13*X2^2</f>
        <v>-1E-4</v>
      </c>
    </row>
    <row r="3" spans="1:25" ht="13.5" thickBot="1" x14ac:dyDescent="0.25">
      <c r="X3" s="52">
        <v>200</v>
      </c>
      <c r="Y3" s="52">
        <f t="shared" si="0"/>
        <v>1.49E-2</v>
      </c>
    </row>
    <row r="4" spans="1:25" ht="14.25" thickTop="1" thickBot="1" x14ac:dyDescent="0.25">
      <c r="A4" s="4" t="s">
        <v>0</v>
      </c>
      <c r="C4" s="7" t="s">
        <v>30</v>
      </c>
      <c r="D4" s="8" t="s">
        <v>30</v>
      </c>
      <c r="X4" s="52">
        <v>400</v>
      </c>
      <c r="Y4" s="52">
        <f t="shared" si="0"/>
        <v>2.7899999999999998E-2</v>
      </c>
    </row>
    <row r="5" spans="1:25" ht="13.5" thickTop="1" x14ac:dyDescent="0.2">
      <c r="A5" s="10" t="s">
        <v>32</v>
      </c>
      <c r="B5" s="11"/>
      <c r="C5" s="12">
        <v>8</v>
      </c>
      <c r="D5" s="11" t="s">
        <v>33</v>
      </c>
      <c r="E5" s="11"/>
      <c r="X5" s="52">
        <v>600</v>
      </c>
      <c r="Y5" s="52">
        <f t="shared" si="0"/>
        <v>3.8899999999999997E-2</v>
      </c>
    </row>
    <row r="6" spans="1:25" ht="13.5" thickBot="1" x14ac:dyDescent="0.25">
      <c r="A6" s="4" t="s">
        <v>1</v>
      </c>
      <c r="X6" s="52">
        <v>800</v>
      </c>
      <c r="Y6" s="52">
        <f t="shared" si="0"/>
        <v>4.7899999999999998E-2</v>
      </c>
    </row>
    <row r="7" spans="1:25" x14ac:dyDescent="0.2">
      <c r="A7" t="s">
        <v>2</v>
      </c>
      <c r="C7" s="32">
        <v>53446.461499999998</v>
      </c>
      <c r="F7" s="56" t="s">
        <v>66</v>
      </c>
      <c r="G7" s="57">
        <f>2*D13*365.24/C8</f>
        <v>-2.7851576202168706E-5</v>
      </c>
      <c r="H7" s="58" t="s">
        <v>68</v>
      </c>
      <c r="X7" s="52">
        <v>1000</v>
      </c>
      <c r="Y7" s="52">
        <f t="shared" si="0"/>
        <v>5.4900000000000004E-2</v>
      </c>
    </row>
    <row r="8" spans="1:25" ht="13.5" thickBot="1" x14ac:dyDescent="0.25">
      <c r="A8" t="s">
        <v>3</v>
      </c>
      <c r="C8" s="32">
        <v>0.65569</v>
      </c>
      <c r="D8" s="29" t="s">
        <v>54</v>
      </c>
      <c r="F8" s="55" t="s">
        <v>67</v>
      </c>
      <c r="G8" s="53"/>
      <c r="H8" s="54"/>
      <c r="X8" s="52">
        <v>1200</v>
      </c>
      <c r="Y8" s="52">
        <f t="shared" si="0"/>
        <v>5.9900000000000002E-2</v>
      </c>
    </row>
    <row r="9" spans="1:25" x14ac:dyDescent="0.2">
      <c r="A9" s="38" t="s">
        <v>56</v>
      </c>
      <c r="C9" s="29">
        <v>28</v>
      </c>
      <c r="D9" s="38" t="str">
        <f>"F"&amp;C9</f>
        <v>F28</v>
      </c>
      <c r="E9" s="38" t="str">
        <f>"G"&amp;C9</f>
        <v>G28</v>
      </c>
      <c r="X9" s="52">
        <v>1400</v>
      </c>
      <c r="Y9" s="52">
        <f t="shared" si="0"/>
        <v>6.2900000000000011E-2</v>
      </c>
    </row>
    <row r="10" spans="1:25" ht="13.5" thickBot="1" x14ac:dyDescent="0.25">
      <c r="C10" s="3" t="s">
        <v>20</v>
      </c>
      <c r="D10" s="3" t="s">
        <v>21</v>
      </c>
      <c r="X10" s="52">
        <v>1600</v>
      </c>
      <c r="Y10" s="52">
        <f t="shared" si="0"/>
        <v>6.3900000000000012E-2</v>
      </c>
    </row>
    <row r="11" spans="1:25" x14ac:dyDescent="0.2">
      <c r="A11" t="s">
        <v>15</v>
      </c>
      <c r="C11" s="39">
        <f ca="1">INTERCEPT(INDIRECT(E9):G1005,INDIRECT(D9):$F1005)</f>
        <v>8.4589681570037753E-2</v>
      </c>
      <c r="D11" s="13">
        <f>+E11*F11</f>
        <v>-1E-4</v>
      </c>
      <c r="E11" s="40">
        <v>-1E-4</v>
      </c>
      <c r="F11">
        <v>1</v>
      </c>
      <c r="G11" s="26" t="str">
        <f>"G"&amp;E19</f>
        <v>GNext ToM</v>
      </c>
      <c r="X11" s="52">
        <v>1800</v>
      </c>
      <c r="Y11" s="52">
        <f t="shared" si="0"/>
        <v>6.2900000000000025E-2</v>
      </c>
    </row>
    <row r="12" spans="1:25" x14ac:dyDescent="0.2">
      <c r="A12" t="s">
        <v>16</v>
      </c>
      <c r="C12" s="39">
        <f ca="1">SLOPE(INDIRECT(E9):G1005,INDIRECT(D9):$F1005)</f>
        <v>-2.9786637082983687E-5</v>
      </c>
      <c r="D12" s="13">
        <f>+E12*F12</f>
        <v>8.0000000000000007E-5</v>
      </c>
      <c r="E12" s="41">
        <v>0.8</v>
      </c>
      <c r="F12" s="42">
        <v>1E-4</v>
      </c>
      <c r="X12" s="52">
        <v>2000</v>
      </c>
      <c r="Y12" s="52">
        <f t="shared" si="0"/>
        <v>5.9900000000000023E-2</v>
      </c>
    </row>
    <row r="13" spans="1:25" ht="13.5" thickBot="1" x14ac:dyDescent="0.25">
      <c r="A13" t="s">
        <v>19</v>
      </c>
      <c r="C13" s="13" t="s">
        <v>13</v>
      </c>
      <c r="D13" s="13">
        <f>+E13*F13</f>
        <v>-2.4999999999999999E-8</v>
      </c>
      <c r="E13" s="43">
        <v>-2.5</v>
      </c>
      <c r="F13" s="42">
        <v>1E-8</v>
      </c>
      <c r="X13" s="52">
        <v>2200</v>
      </c>
      <c r="Y13" s="52">
        <f t="shared" si="0"/>
        <v>5.4900000000000032E-2</v>
      </c>
    </row>
    <row r="14" spans="1:25" x14ac:dyDescent="0.2">
      <c r="A14" t="s">
        <v>57</v>
      </c>
      <c r="E14">
        <f ca="1">SUM(T21:T950)</f>
        <v>3.2591780328869377E-2</v>
      </c>
      <c r="X14" s="52">
        <v>2400</v>
      </c>
      <c r="Y14" s="52">
        <f t="shared" si="0"/>
        <v>4.7900000000000026E-2</v>
      </c>
    </row>
    <row r="15" spans="1:25" x14ac:dyDescent="0.2">
      <c r="A15" s="44" t="s">
        <v>17</v>
      </c>
      <c r="C15" s="15">
        <f ca="1">(C7+C11)+(C8+C12)*INT(MAX(F21:F3533))</f>
        <v>57100.540458753108</v>
      </c>
      <c r="D15" s="26">
        <f>+C7+INT(MAX(F21:F1588))*C8+D11+D12*INT(MAX(F21:F4023))+D13*INT(MAX(F21:F4050)^2)</f>
        <v>57100.291151774996</v>
      </c>
      <c r="E15" s="16" t="s">
        <v>58</v>
      </c>
      <c r="F15" s="12">
        <v>1</v>
      </c>
      <c r="X15" s="52">
        <v>2600</v>
      </c>
      <c r="Y15" s="52">
        <f t="shared" si="0"/>
        <v>3.8900000000000046E-2</v>
      </c>
    </row>
    <row r="16" spans="1:25" x14ac:dyDescent="0.2">
      <c r="A16" s="4" t="s">
        <v>4</v>
      </c>
      <c r="C16" s="19">
        <f ca="1">+C8+C12</f>
        <v>0.65566021336291702</v>
      </c>
      <c r="D16" s="26">
        <f>+C8+D12+2*D13*MAX(F21:F896)</f>
        <v>0.65549134999999992</v>
      </c>
      <c r="E16" s="16" t="s">
        <v>34</v>
      </c>
      <c r="F16" s="17">
        <f ca="1">NOW()+15018.5+$C$5/24</f>
        <v>60316.47756979167</v>
      </c>
      <c r="X16" s="52">
        <v>2800</v>
      </c>
      <c r="Y16" s="52">
        <f t="shared" si="0"/>
        <v>2.7900000000000036E-2</v>
      </c>
    </row>
    <row r="17" spans="1:25" ht="13.5" thickBot="1" x14ac:dyDescent="0.25">
      <c r="A17" s="39" t="s">
        <v>31</v>
      </c>
      <c r="C17">
        <f>COUNT(C21:C4739)</f>
        <v>12</v>
      </c>
      <c r="E17" s="16" t="s">
        <v>59</v>
      </c>
      <c r="F17" s="17">
        <f ca="1">ROUND(2*(F16-$C$7)/$C$8,0)/2+F15</f>
        <v>10478.5</v>
      </c>
      <c r="X17" s="52">
        <v>3000</v>
      </c>
      <c r="Y17" s="52">
        <f t="shared" si="0"/>
        <v>1.4900000000000052E-2</v>
      </c>
    </row>
    <row r="18" spans="1:25" ht="14.25" thickTop="1" thickBot="1" x14ac:dyDescent="0.25">
      <c r="A18" s="4" t="s">
        <v>60</v>
      </c>
      <c r="C18" s="45">
        <f ca="1">+C15</f>
        <v>57100.540458753108</v>
      </c>
      <c r="D18" s="46">
        <f ca="1">C16</f>
        <v>0.65566021336291702</v>
      </c>
      <c r="E18" s="16" t="s">
        <v>35</v>
      </c>
      <c r="F18" s="26">
        <f ca="1">ROUND(2*(F16-$C$15)/$C$16,0)/2+F15</f>
        <v>4906</v>
      </c>
      <c r="R18">
        <f>SQRT(SUM(R21:R27))</f>
        <v>0.1679258867773748</v>
      </c>
      <c r="V18">
        <f>SQRT(SUM(V21:V27))</f>
        <v>0</v>
      </c>
      <c r="W18">
        <f>SQRT(SUM(W21:W27))</f>
        <v>9.3357919760787417E-2</v>
      </c>
      <c r="X18" s="52">
        <v>3200</v>
      </c>
      <c r="Y18" s="52">
        <f t="shared" si="0"/>
        <v>-9.9999999999988987E-5</v>
      </c>
    </row>
    <row r="19" spans="1:25" ht="13.5" thickBot="1" x14ac:dyDescent="0.25">
      <c r="A19" s="4" t="s">
        <v>61</v>
      </c>
      <c r="C19" s="47">
        <f>+D15</f>
        <v>57100.291151774996</v>
      </c>
      <c r="D19" s="48">
        <f>+D16</f>
        <v>0.65549134999999992</v>
      </c>
      <c r="E19" s="16" t="s">
        <v>36</v>
      </c>
      <c r="F19" s="20">
        <f ca="1">+$C$15+$C$16*F18-15018.5-$C$5/24</f>
        <v>45298.376132178244</v>
      </c>
      <c r="X19" s="52">
        <v>3400</v>
      </c>
      <c r="Y19" s="52">
        <f t="shared" si="0"/>
        <v>-1.7099999999999949E-2</v>
      </c>
    </row>
    <row r="20" spans="1:25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46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50" t="s">
        <v>62</v>
      </c>
      <c r="S20" s="5" t="s">
        <v>63</v>
      </c>
      <c r="T20" s="50" t="s">
        <v>64</v>
      </c>
      <c r="U20" s="51" t="s">
        <v>65</v>
      </c>
      <c r="X20" s="52">
        <v>3600</v>
      </c>
      <c r="Y20" s="52">
        <f t="shared" si="0"/>
        <v>-3.6099999999999965E-2</v>
      </c>
    </row>
    <row r="21" spans="1:25" x14ac:dyDescent="0.2">
      <c r="A21" s="30" t="s">
        <v>40</v>
      </c>
      <c r="B21" s="31"/>
      <c r="C21" s="32">
        <v>53446.461499999998</v>
      </c>
      <c r="D21" s="32">
        <v>1.6000000000000001E-3</v>
      </c>
      <c r="E21">
        <f t="shared" ref="E21:E30" si="1">+(C21-C$7)/C$8</f>
        <v>0</v>
      </c>
      <c r="F21">
        <f t="shared" ref="F21:F32" si="2">ROUND(2*E21,0)/2</f>
        <v>0</v>
      </c>
      <c r="G21">
        <f t="shared" ref="G21:G30" si="3">+C21-(C$7+F21*C$8)</f>
        <v>0</v>
      </c>
      <c r="H21">
        <f t="shared" ref="H21:H32" si="4">+G21</f>
        <v>0</v>
      </c>
      <c r="P21" s="49">
        <f t="shared" ref="P21:P30" si="5">+D$11+D$12*F21+D$13*F21^2</f>
        <v>-1E-4</v>
      </c>
      <c r="Q21" s="2">
        <f t="shared" ref="Q21:Q30" si="6">+C21-15018.5</f>
        <v>38427.961499999998</v>
      </c>
      <c r="R21">
        <f t="shared" ref="R21:R29" si="7">+(O21-H21)^2</f>
        <v>0</v>
      </c>
      <c r="S21">
        <v>0.8</v>
      </c>
      <c r="T21">
        <f t="shared" ref="T21:T30" si="8">+S21*R21</f>
        <v>0</v>
      </c>
      <c r="W21">
        <f>+(P21-G21)^2</f>
        <v>1E-8</v>
      </c>
      <c r="X21" s="52">
        <v>3800</v>
      </c>
      <c r="Y21" s="52">
        <f t="shared" si="0"/>
        <v>-5.7099999999999929E-2</v>
      </c>
    </row>
    <row r="22" spans="1:25" x14ac:dyDescent="0.2">
      <c r="A22" s="30" t="s">
        <v>40</v>
      </c>
      <c r="B22" s="31"/>
      <c r="C22" s="32">
        <v>53463.4755</v>
      </c>
      <c r="D22" s="32">
        <v>2.3999999999999998E-3</v>
      </c>
      <c r="E22">
        <f t="shared" si="1"/>
        <v>25.948237734299521</v>
      </c>
      <c r="F22">
        <f t="shared" si="2"/>
        <v>26</v>
      </c>
      <c r="G22">
        <f t="shared" si="3"/>
        <v>-3.3939999993890524E-2</v>
      </c>
      <c r="H22">
        <f t="shared" si="4"/>
        <v>-3.3939999993890524E-2</v>
      </c>
      <c r="P22" s="49">
        <f t="shared" si="5"/>
        <v>1.9631000000000006E-3</v>
      </c>
      <c r="Q22" s="2">
        <f t="shared" si="6"/>
        <v>38444.9755</v>
      </c>
      <c r="R22">
        <f t="shared" si="7"/>
        <v>1.1519235995852888E-3</v>
      </c>
      <c r="S22">
        <v>0.5</v>
      </c>
      <c r="T22">
        <f t="shared" si="8"/>
        <v>5.7596179979264438E-4</v>
      </c>
      <c r="W22">
        <f t="shared" ref="W22:W30" si="9">+(P22-G22)^2</f>
        <v>1.2890325891713019E-3</v>
      </c>
      <c r="X22" s="52">
        <v>4000</v>
      </c>
      <c r="Y22" s="52">
        <f t="shared" ref="Y22:Y27" si="10">+D$11+D$12*X22+D$13*X22^2</f>
        <v>-8.0099999999999949E-2</v>
      </c>
    </row>
    <row r="23" spans="1:25" x14ac:dyDescent="0.2">
      <c r="A23" s="30" t="s">
        <v>40</v>
      </c>
      <c r="B23" s="31"/>
      <c r="C23" s="32">
        <v>53464.558400000002</v>
      </c>
      <c r="D23" s="32">
        <v>7.0000000000000001E-3</v>
      </c>
      <c r="E23">
        <f t="shared" si="1"/>
        <v>27.599780384029188</v>
      </c>
      <c r="F23">
        <f t="shared" si="2"/>
        <v>27.5</v>
      </c>
      <c r="G23">
        <f t="shared" si="3"/>
        <v>6.542500000068685E-2</v>
      </c>
      <c r="H23">
        <f t="shared" si="4"/>
        <v>6.542500000068685E-2</v>
      </c>
      <c r="P23" s="49">
        <f t="shared" si="5"/>
        <v>2.0810937500000005E-3</v>
      </c>
      <c r="Q23" s="2">
        <f t="shared" si="6"/>
        <v>38446.058400000002</v>
      </c>
      <c r="R23">
        <f t="shared" si="7"/>
        <v>4.280430625089874E-3</v>
      </c>
      <c r="S23">
        <v>0.1</v>
      </c>
      <c r="T23">
        <f t="shared" si="8"/>
        <v>4.2804306250898743E-4</v>
      </c>
      <c r="W23">
        <f t="shared" si="9"/>
        <v>4.0124504590958046E-3</v>
      </c>
      <c r="X23" s="52">
        <v>4200</v>
      </c>
      <c r="Y23" s="52">
        <f t="shared" si="10"/>
        <v>-0.10509999999999997</v>
      </c>
    </row>
    <row r="24" spans="1:25" x14ac:dyDescent="0.2">
      <c r="A24" s="30" t="s">
        <v>40</v>
      </c>
      <c r="B24" s="31"/>
      <c r="C24" s="32">
        <v>53465.449699999997</v>
      </c>
      <c r="D24" s="32">
        <v>2E-3</v>
      </c>
      <c r="E24">
        <f t="shared" si="1"/>
        <v>28.959111775381324</v>
      </c>
      <c r="F24">
        <f t="shared" si="2"/>
        <v>29</v>
      </c>
      <c r="G24">
        <f t="shared" si="3"/>
        <v>-2.681000000302447E-2</v>
      </c>
      <c r="H24">
        <f t="shared" si="4"/>
        <v>-2.681000000302447E-2</v>
      </c>
      <c r="P24" s="49">
        <f t="shared" si="5"/>
        <v>2.1989750000000001E-3</v>
      </c>
      <c r="Q24" s="2">
        <f t="shared" si="6"/>
        <v>38446.949699999997</v>
      </c>
      <c r="R24">
        <f t="shared" si="7"/>
        <v>7.1877610016217203E-4</v>
      </c>
      <c r="S24">
        <v>0.1</v>
      </c>
      <c r="T24">
        <f t="shared" si="8"/>
        <v>7.1877610016217203E-5</v>
      </c>
      <c r="W24">
        <f t="shared" si="9"/>
        <v>8.4152063072609853E-4</v>
      </c>
      <c r="X24" s="52">
        <v>4400</v>
      </c>
      <c r="Y24" s="52">
        <f t="shared" si="10"/>
        <v>-0.13209999999999994</v>
      </c>
    </row>
    <row r="25" spans="1:25" x14ac:dyDescent="0.2">
      <c r="A25" s="30" t="s">
        <v>42</v>
      </c>
      <c r="C25" s="9">
        <v>54185.491499999996</v>
      </c>
      <c r="D25" s="9">
        <v>3.0999999999999999E-3</v>
      </c>
      <c r="E25">
        <f t="shared" si="1"/>
        <v>1127.1027467248225</v>
      </c>
      <c r="F25">
        <f t="shared" si="2"/>
        <v>1127</v>
      </c>
      <c r="G25">
        <f t="shared" si="3"/>
        <v>6.7369999997026753E-2</v>
      </c>
      <c r="H25">
        <f t="shared" si="4"/>
        <v>6.7369999997026753E-2</v>
      </c>
      <c r="P25" s="49">
        <f t="shared" si="5"/>
        <v>5.8306775000000005E-2</v>
      </c>
      <c r="Q25" s="2">
        <f t="shared" si="6"/>
        <v>39166.991499999996</v>
      </c>
      <c r="R25">
        <f t="shared" si="7"/>
        <v>4.5387168995993845E-3</v>
      </c>
      <c r="S25">
        <v>0.7</v>
      </c>
      <c r="T25">
        <f t="shared" si="8"/>
        <v>3.177101829719569E-3</v>
      </c>
      <c r="W25">
        <f t="shared" si="9"/>
        <v>8.2142047346730486E-5</v>
      </c>
      <c r="X25" s="52">
        <v>4600</v>
      </c>
      <c r="Y25" s="52">
        <f t="shared" si="10"/>
        <v>-0.16109999999999997</v>
      </c>
    </row>
    <row r="26" spans="1:25" x14ac:dyDescent="0.2">
      <c r="A26" s="30" t="s">
        <v>42</v>
      </c>
      <c r="C26" s="9">
        <v>54186.504200000003</v>
      </c>
      <c r="D26" s="9">
        <v>3.2000000000000002E-3</v>
      </c>
      <c r="E26">
        <f t="shared" si="1"/>
        <v>1128.6472265857424</v>
      </c>
      <c r="F26">
        <f t="shared" si="2"/>
        <v>1128.5</v>
      </c>
      <c r="G26">
        <f t="shared" si="3"/>
        <v>9.6535000004223548E-2</v>
      </c>
      <c r="H26">
        <f t="shared" si="4"/>
        <v>9.6535000004223548E-2</v>
      </c>
      <c r="P26" s="49">
        <f t="shared" si="5"/>
        <v>5.8342193750000014E-2</v>
      </c>
      <c r="Q26" s="2">
        <f t="shared" si="6"/>
        <v>39168.004200000003</v>
      </c>
      <c r="R26">
        <f t="shared" si="7"/>
        <v>9.3190062258154405E-3</v>
      </c>
      <c r="S26">
        <v>0.7</v>
      </c>
      <c r="T26">
        <f t="shared" si="8"/>
        <v>6.523304358070808E-3</v>
      </c>
      <c r="W26">
        <f t="shared" si="9"/>
        <v>1.4586904495726563E-3</v>
      </c>
      <c r="X26" s="52">
        <v>4800</v>
      </c>
      <c r="Y26" s="52">
        <f t="shared" si="10"/>
        <v>-0.19209999999999994</v>
      </c>
    </row>
    <row r="27" spans="1:25" x14ac:dyDescent="0.2">
      <c r="A27" s="30" t="s">
        <v>42</v>
      </c>
      <c r="C27" s="9">
        <v>54187.481699999997</v>
      </c>
      <c r="D27" s="9">
        <v>5.4000000000000003E-3</v>
      </c>
      <c r="E27">
        <f t="shared" si="1"/>
        <v>1130.1380225411383</v>
      </c>
      <c r="F27">
        <f t="shared" si="2"/>
        <v>1130</v>
      </c>
      <c r="G27">
        <f t="shared" si="3"/>
        <v>9.0499999998428393E-2</v>
      </c>
      <c r="H27">
        <f t="shared" si="4"/>
        <v>9.0499999998428393E-2</v>
      </c>
      <c r="P27" s="49">
        <f t="shared" si="5"/>
        <v>5.8377500000000006E-2</v>
      </c>
      <c r="Q27" s="2">
        <f t="shared" si="6"/>
        <v>39168.981699999997</v>
      </c>
      <c r="R27">
        <f t="shared" si="7"/>
        <v>8.1902499997155397E-3</v>
      </c>
      <c r="S27">
        <v>0.6</v>
      </c>
      <c r="T27">
        <f t="shared" si="8"/>
        <v>4.914149999829324E-3</v>
      </c>
      <c r="W27">
        <f t="shared" si="9"/>
        <v>1.0318550061490317E-3</v>
      </c>
      <c r="X27" s="52">
        <v>5000</v>
      </c>
      <c r="Y27" s="52">
        <f t="shared" si="10"/>
        <v>-0.22509999999999997</v>
      </c>
    </row>
    <row r="28" spans="1:25" x14ac:dyDescent="0.2">
      <c r="A28" s="30" t="s">
        <v>52</v>
      </c>
      <c r="B28" s="59" t="s">
        <v>53</v>
      </c>
      <c r="C28" s="30">
        <v>55627.647199999999</v>
      </c>
      <c r="D28" s="30">
        <v>2.5000000000000001E-3</v>
      </c>
      <c r="E28">
        <f t="shared" si="1"/>
        <v>3326.5501990269822</v>
      </c>
      <c r="F28">
        <f t="shared" si="2"/>
        <v>3326.5</v>
      </c>
      <c r="G28">
        <f t="shared" si="3"/>
        <v>3.2915000003413297E-2</v>
      </c>
      <c r="H28">
        <f t="shared" si="4"/>
        <v>3.2915000003413297E-2</v>
      </c>
      <c r="O28">
        <f ca="1">+C$11+C$12*$F28</f>
        <v>-1.4495566686507477E-2</v>
      </c>
      <c r="P28" s="49">
        <f t="shared" si="5"/>
        <v>-1.0620056249999954E-2</v>
      </c>
      <c r="Q28" s="2">
        <f t="shared" si="6"/>
        <v>40609.147199999999</v>
      </c>
      <c r="R28">
        <f t="shared" ca="1" si="7"/>
        <v>2.2477618338594251E-3</v>
      </c>
      <c r="S28">
        <v>0.8</v>
      </c>
      <c r="T28">
        <f t="shared" ca="1" si="8"/>
        <v>1.7982094670875401E-3</v>
      </c>
      <c r="V28">
        <f ca="1">+(O28-H28)^2</f>
        <v>2.2477618338594251E-3</v>
      </c>
      <c r="W28">
        <f t="shared" si="9"/>
        <v>1.8953011229878563E-3</v>
      </c>
    </row>
    <row r="29" spans="1:25" x14ac:dyDescent="0.2">
      <c r="A29" s="63" t="s">
        <v>69</v>
      </c>
      <c r="B29" s="63" t="s">
        <v>53</v>
      </c>
      <c r="C29" s="64">
        <v>56002.595999999998</v>
      </c>
      <c r="D29" s="64">
        <v>6.0000000000000001E-3</v>
      </c>
      <c r="E29">
        <f t="shared" si="1"/>
        <v>3898.3887202794003</v>
      </c>
      <c r="F29">
        <f t="shared" si="2"/>
        <v>3898.5</v>
      </c>
      <c r="G29">
        <f t="shared" si="3"/>
        <v>-7.2964999999385327E-2</v>
      </c>
      <c r="H29">
        <f t="shared" si="4"/>
        <v>-7.2964999999385327E-2</v>
      </c>
      <c r="O29">
        <f ca="1">+C$11+C$12*$F29</f>
        <v>-3.153352309797415E-2</v>
      </c>
      <c r="P29" s="49">
        <f t="shared" si="5"/>
        <v>-6.8177556249999938E-2</v>
      </c>
      <c r="Q29" s="2">
        <f t="shared" si="6"/>
        <v>40984.095999999998</v>
      </c>
      <c r="R29">
        <f t="shared" ca="1" si="7"/>
        <v>1.7165672782321678E-3</v>
      </c>
      <c r="S29">
        <v>0.8</v>
      </c>
      <c r="T29">
        <f t="shared" ca="1" si="8"/>
        <v>1.3732538225857344E-3</v>
      </c>
      <c r="V29">
        <f ca="1">+(O29-I29)^2</f>
        <v>9.9436307897046933E-4</v>
      </c>
      <c r="W29">
        <f t="shared" si="9"/>
        <v>2.2919617653529236E-5</v>
      </c>
    </row>
    <row r="30" spans="1:25" x14ac:dyDescent="0.2">
      <c r="A30" s="34" t="s">
        <v>70</v>
      </c>
      <c r="C30" s="9">
        <v>56357.906999999999</v>
      </c>
      <c r="D30" s="9">
        <v>0.02</v>
      </c>
      <c r="E30">
        <f t="shared" si="1"/>
        <v>4440.2774176821385</v>
      </c>
      <c r="F30">
        <f t="shared" si="2"/>
        <v>4440.5</v>
      </c>
      <c r="G30">
        <f t="shared" si="3"/>
        <v>-0.14594499999657273</v>
      </c>
      <c r="I30">
        <f>+G30</f>
        <v>-0.14594499999657273</v>
      </c>
      <c r="O30">
        <f ca="1">+C$11+C$12*$F30</f>
        <v>-4.7677880396951297E-2</v>
      </c>
      <c r="P30" s="49">
        <f t="shared" si="5"/>
        <v>-0.13781100624999992</v>
      </c>
      <c r="Q30" s="2">
        <f t="shared" si="6"/>
        <v>41339.406999999999</v>
      </c>
      <c r="R30">
        <f ca="1">+(O30-I30)^2</f>
        <v>9.6564267944063038E-3</v>
      </c>
      <c r="S30">
        <v>0.05</v>
      </c>
      <c r="T30">
        <f t="shared" ca="1" si="8"/>
        <v>4.8282133972031522E-4</v>
      </c>
      <c r="V30">
        <f ca="1">+(O30-H30)^2</f>
        <v>2.2731802791459929E-3</v>
      </c>
      <c r="W30">
        <f t="shared" si="9"/>
        <v>6.6161854269285565E-5</v>
      </c>
    </row>
    <row r="31" spans="1:25" x14ac:dyDescent="0.2">
      <c r="A31" s="65" t="s">
        <v>71</v>
      </c>
      <c r="B31" s="66" t="s">
        <v>53</v>
      </c>
      <c r="C31" s="65">
        <v>56745.6374</v>
      </c>
      <c r="D31" s="65">
        <v>3.0000000000000001E-3</v>
      </c>
      <c r="E31">
        <f>+(C31-C$7)/C$8</f>
        <v>5031.6092970763657</v>
      </c>
      <c r="F31">
        <f t="shared" si="2"/>
        <v>5031.5</v>
      </c>
      <c r="G31">
        <f>+C31-(C$7+F31*C$8)</f>
        <v>7.1665000003122259E-2</v>
      </c>
      <c r="H31">
        <f t="shared" si="4"/>
        <v>7.1665000003122259E-2</v>
      </c>
      <c r="O31">
        <f ca="1">+C$11+C$12*$F31</f>
        <v>-6.5281782912994676E-2</v>
      </c>
      <c r="P31" s="49">
        <f>+D$11+D$12*F31+D$13*F31^2</f>
        <v>-0.23047980624999992</v>
      </c>
      <c r="Q31" s="2">
        <f>+C31-15018.5</f>
        <v>41727.1374</v>
      </c>
      <c r="R31">
        <f ca="1">+(O31-H31)^2</f>
        <v>1.8754421351074062E-2</v>
      </c>
      <c r="S31">
        <v>0.6</v>
      </c>
      <c r="T31">
        <f ca="1">+S31*R31</f>
        <v>1.1252652810644437E-2</v>
      </c>
    </row>
    <row r="32" spans="1:25" x14ac:dyDescent="0.2">
      <c r="A32" s="67" t="s">
        <v>72</v>
      </c>
      <c r="B32" s="68"/>
      <c r="C32" s="67">
        <v>57100.495799999997</v>
      </c>
      <c r="D32" s="67">
        <v>8.0000000000000004E-4</v>
      </c>
      <c r="E32">
        <f>+(C32-C$7)/C$8</f>
        <v>5572.8077292623029</v>
      </c>
      <c r="F32">
        <f t="shared" si="2"/>
        <v>5573</v>
      </c>
      <c r="G32">
        <f>+C32-(C$7+F32*C$8)</f>
        <v>-0.12606999999843538</v>
      </c>
      <c r="H32">
        <f t="shared" si="4"/>
        <v>-0.12606999999843538</v>
      </c>
      <c r="O32">
        <f ca="1">+C$11+C$12*$F32</f>
        <v>-8.1411246893430336E-2</v>
      </c>
      <c r="P32" s="49">
        <f>+D$11+D$12*F32+D$13*F32^2</f>
        <v>-0.33071822499999992</v>
      </c>
      <c r="Q32" s="2">
        <f>+C32-15018.5</f>
        <v>42081.995799999997</v>
      </c>
      <c r="R32">
        <f ca="1">+(O32-H32)^2</f>
        <v>1.9944042288937975E-3</v>
      </c>
      <c r="S32">
        <v>1</v>
      </c>
      <c r="T32">
        <f ca="1">+S32*R32</f>
        <v>1.9944042288937975E-3</v>
      </c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9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24</v>
      </c>
      <c r="B2" t="s">
        <v>49</v>
      </c>
      <c r="D2" s="33" t="s">
        <v>47</v>
      </c>
    </row>
    <row r="3" spans="1:7" ht="13.5" thickBot="1" x14ac:dyDescent="0.25">
      <c r="D3" s="29"/>
    </row>
    <row r="4" spans="1:7" ht="14.25" thickTop="1" thickBot="1" x14ac:dyDescent="0.25">
      <c r="A4" s="4" t="s">
        <v>0</v>
      </c>
      <c r="C4" s="7" t="s">
        <v>30</v>
      </c>
      <c r="D4" s="8" t="s">
        <v>30</v>
      </c>
    </row>
    <row r="6" spans="1:7" x14ac:dyDescent="0.2">
      <c r="A6" s="4" t="s">
        <v>1</v>
      </c>
    </row>
    <row r="7" spans="1:7" x14ac:dyDescent="0.2">
      <c r="A7" t="s">
        <v>2</v>
      </c>
      <c r="C7" s="32">
        <v>53446.461499999998</v>
      </c>
    </row>
    <row r="8" spans="1:7" x14ac:dyDescent="0.2">
      <c r="A8" t="s">
        <v>3</v>
      </c>
      <c r="C8" s="32">
        <v>0.97438100000000005</v>
      </c>
      <c r="D8" s="29" t="s">
        <v>55</v>
      </c>
    </row>
    <row r="9" spans="1:7" x14ac:dyDescent="0.2">
      <c r="A9" s="10" t="s">
        <v>32</v>
      </c>
      <c r="B9" s="11"/>
      <c r="C9" s="12">
        <v>-9.5</v>
      </c>
      <c r="D9" s="11" t="s">
        <v>33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4">
        <f ca="1">INTERCEPT(INDIRECT($G$11):G991,INDIRECT($F$11):F991)</f>
        <v>-4.5243022807523155E-3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x14ac:dyDescent="0.2">
      <c r="A12" s="11" t="s">
        <v>16</v>
      </c>
      <c r="B12" s="11"/>
      <c r="C12" s="24">
        <f ca="1">SLOPE(INDIRECT($G$11):G991,INDIRECT($F$11):F991)</f>
        <v>-2.8132790205324199E-6</v>
      </c>
      <c r="D12" s="13"/>
      <c r="E12" s="11"/>
    </row>
    <row r="13" spans="1:7" x14ac:dyDescent="0.2">
      <c r="A13" s="11" t="s">
        <v>19</v>
      </c>
      <c r="B13" s="11"/>
      <c r="C13" s="13" t="s">
        <v>13</v>
      </c>
      <c r="D13" s="13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4" t="s">
        <v>17</v>
      </c>
      <c r="B15" s="11"/>
      <c r="C15" s="15">
        <f ca="1">(C7+C11)+(C8+C12)*INT(MAX(F21:F3532))</f>
        <v>57100.37517590139</v>
      </c>
      <c r="D15" s="16" t="s">
        <v>34</v>
      </c>
      <c r="E15" s="17">
        <f ca="1">TODAY()+15018.5-B9/24</f>
        <v>60315.5</v>
      </c>
    </row>
    <row r="16" spans="1:7" x14ac:dyDescent="0.2">
      <c r="A16" s="18" t="s">
        <v>4</v>
      </c>
      <c r="B16" s="11"/>
      <c r="C16" s="19">
        <f ca="1">+C8+C12</f>
        <v>0.97437818672097953</v>
      </c>
      <c r="D16" s="16" t="s">
        <v>35</v>
      </c>
      <c r="E16" s="17">
        <f ca="1">ROUND(2*(E15-C15)/C16,0)/2+1</f>
        <v>3300.5</v>
      </c>
    </row>
    <row r="17" spans="1:22" ht="13.5" thickBot="1" x14ac:dyDescent="0.25">
      <c r="A17" s="16" t="s">
        <v>31</v>
      </c>
      <c r="B17" s="11"/>
      <c r="C17" s="11">
        <f>COUNT(C21:C2190)</f>
        <v>13</v>
      </c>
      <c r="D17" s="16" t="s">
        <v>36</v>
      </c>
      <c r="E17" s="20">
        <f ca="1">+C15+C16*E16-15018.5-C9/24</f>
        <v>45298.206214507321</v>
      </c>
    </row>
    <row r="18" spans="1:22" ht="14.25" thickTop="1" thickBot="1" x14ac:dyDescent="0.25">
      <c r="A18" s="18" t="s">
        <v>5</v>
      </c>
      <c r="B18" s="11"/>
      <c r="C18" s="21">
        <f ca="1">+C15</f>
        <v>57100.37517590139</v>
      </c>
      <c r="D18" s="22">
        <f ca="1">+C16</f>
        <v>0.97437818672097953</v>
      </c>
      <c r="E18" s="23" t="s">
        <v>37</v>
      </c>
      <c r="V18">
        <f ca="1">SQRT(SUM(V21:V27))</f>
        <v>8.9422127237688762E-2</v>
      </c>
    </row>
    <row r="19" spans="1:22" ht="13.5" thickTop="1" x14ac:dyDescent="0.2">
      <c r="A19" s="27" t="s">
        <v>38</v>
      </c>
      <c r="E19" s="28">
        <v>21</v>
      </c>
    </row>
    <row r="20" spans="1:22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46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22" x14ac:dyDescent="0.2">
      <c r="A21" s="30" t="s">
        <v>40</v>
      </c>
      <c r="B21" s="31"/>
      <c r="C21" s="32">
        <v>53446.461499999998</v>
      </c>
      <c r="D21" s="32">
        <v>1.6000000000000001E-3</v>
      </c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H21">
        <f t="shared" ref="H21:H30" si="3">+G21</f>
        <v>0</v>
      </c>
      <c r="O21">
        <f t="shared" ref="O21:O29" ca="1" si="4">+C$11+C$12*$F21</f>
        <v>-4.5243022807523155E-3</v>
      </c>
      <c r="Q21" s="2">
        <f t="shared" ref="Q21:Q29" si="5">+C21-15018.5</f>
        <v>38427.961499999998</v>
      </c>
      <c r="V21">
        <f t="shared" ref="V21:V28" ca="1" si="6">+(O21-H21)^2</f>
        <v>2.0469311127620605E-5</v>
      </c>
    </row>
    <row r="22" spans="1:22" x14ac:dyDescent="0.2">
      <c r="A22" s="30" t="s">
        <v>40</v>
      </c>
      <c r="B22" s="31"/>
      <c r="C22" s="32">
        <v>53463.4755</v>
      </c>
      <c r="D22" s="32">
        <v>2.3999999999999998E-3</v>
      </c>
      <c r="E22">
        <f t="shared" si="0"/>
        <v>17.461342123874388</v>
      </c>
      <c r="F22">
        <f t="shared" si="1"/>
        <v>17.5</v>
      </c>
      <c r="G22">
        <f t="shared" si="2"/>
        <v>-3.7667500000679865E-2</v>
      </c>
      <c r="H22">
        <f t="shared" si="3"/>
        <v>-3.7667500000679865E-2</v>
      </c>
      <c r="O22">
        <f t="shared" ca="1" si="4"/>
        <v>-4.5735346636116333E-3</v>
      </c>
      <c r="Q22" s="2">
        <f t="shared" si="5"/>
        <v>38444.9755</v>
      </c>
      <c r="V22">
        <f t="shared" ca="1" si="6"/>
        <v>1.0952105417310735E-3</v>
      </c>
    </row>
    <row r="23" spans="1:22" x14ac:dyDescent="0.2">
      <c r="A23" s="30" t="s">
        <v>40</v>
      </c>
      <c r="B23" s="31"/>
      <c r="C23" s="32">
        <v>53464.558400000002</v>
      </c>
      <c r="D23" s="32">
        <v>7.0000000000000001E-3</v>
      </c>
      <c r="E23">
        <f t="shared" si="0"/>
        <v>18.572714369434642</v>
      </c>
      <c r="F23">
        <f t="shared" si="1"/>
        <v>18.5</v>
      </c>
      <c r="G23">
        <f t="shared" si="2"/>
        <v>7.0851500000571832E-2</v>
      </c>
      <c r="H23">
        <f t="shared" si="3"/>
        <v>7.0851500000571832E-2</v>
      </c>
      <c r="O23">
        <f t="shared" ca="1" si="4"/>
        <v>-4.5763479426321656E-3</v>
      </c>
      <c r="Q23" s="2">
        <f t="shared" si="5"/>
        <v>38446.058400000002</v>
      </c>
      <c r="V23">
        <f t="shared" ca="1" si="6"/>
        <v>5.6893602453431027E-3</v>
      </c>
    </row>
    <row r="24" spans="1:22" x14ac:dyDescent="0.2">
      <c r="A24" s="30" t="s">
        <v>40</v>
      </c>
      <c r="B24" s="31"/>
      <c r="C24" s="32">
        <v>53465.449699999997</v>
      </c>
      <c r="D24" s="32">
        <v>2E-3</v>
      </c>
      <c r="E24">
        <f t="shared" si="0"/>
        <v>19.487448954772084</v>
      </c>
      <c r="F24">
        <f t="shared" si="1"/>
        <v>19.5</v>
      </c>
      <c r="G24">
        <f t="shared" si="2"/>
        <v>-1.2229500003741123E-2</v>
      </c>
      <c r="H24">
        <f t="shared" si="3"/>
        <v>-1.2229500003741123E-2</v>
      </c>
      <c r="O24">
        <f t="shared" ca="1" si="4"/>
        <v>-4.5791612216526979E-3</v>
      </c>
      <c r="Q24" s="2">
        <f t="shared" si="5"/>
        <v>38446.949699999997</v>
      </c>
      <c r="V24">
        <f t="shared" ca="1" si="6"/>
        <v>5.8527683480726203E-5</v>
      </c>
    </row>
    <row r="25" spans="1:22" x14ac:dyDescent="0.2">
      <c r="A25" s="30" t="s">
        <v>42</v>
      </c>
      <c r="C25" s="9">
        <v>54185.491499999996</v>
      </c>
      <c r="D25" s="9">
        <v>3.0999999999999999E-3</v>
      </c>
      <c r="E25">
        <f t="shared" si="0"/>
        <v>758.46101268394887</v>
      </c>
      <c r="F25">
        <f t="shared" si="1"/>
        <v>758.5</v>
      </c>
      <c r="G25">
        <f t="shared" si="2"/>
        <v>-3.7988500000210479E-2</v>
      </c>
      <c r="H25">
        <f t="shared" si="3"/>
        <v>-3.7988500000210479E-2</v>
      </c>
      <c r="O25">
        <f t="shared" ca="1" si="4"/>
        <v>-6.6581744178261558E-3</v>
      </c>
      <c r="Q25" s="2">
        <f t="shared" si="5"/>
        <v>39166.991499999996</v>
      </c>
      <c r="V25">
        <f t="shared" ca="1" si="6"/>
        <v>9.8158930109820534E-4</v>
      </c>
    </row>
    <row r="26" spans="1:22" x14ac:dyDescent="0.2">
      <c r="A26" s="30" t="s">
        <v>42</v>
      </c>
      <c r="C26" s="9">
        <v>54186.504200000003</v>
      </c>
      <c r="D26" s="9">
        <v>3.2000000000000002E-3</v>
      </c>
      <c r="E26">
        <f t="shared" si="0"/>
        <v>759.50033918970644</v>
      </c>
      <c r="F26">
        <f t="shared" si="1"/>
        <v>759.5</v>
      </c>
      <c r="G26">
        <f t="shared" si="2"/>
        <v>3.3050000638468191E-4</v>
      </c>
      <c r="H26">
        <f t="shared" si="3"/>
        <v>3.3050000638468191E-4</v>
      </c>
      <c r="O26">
        <f t="shared" ca="1" si="4"/>
        <v>-6.6609876968466881E-3</v>
      </c>
      <c r="Q26" s="2">
        <f t="shared" si="5"/>
        <v>39168.004200000003</v>
      </c>
      <c r="V26">
        <f t="shared" ca="1" si="6"/>
        <v>4.8880900304435461E-5</v>
      </c>
    </row>
    <row r="27" spans="1:22" x14ac:dyDescent="0.2">
      <c r="A27" s="30" t="s">
        <v>42</v>
      </c>
      <c r="C27" s="9">
        <v>54187.481699999997</v>
      </c>
      <c r="D27" s="9">
        <v>5.4000000000000003E-3</v>
      </c>
      <c r="E27">
        <f t="shared" si="0"/>
        <v>760.50354019628764</v>
      </c>
      <c r="F27">
        <f t="shared" si="1"/>
        <v>760.5</v>
      </c>
      <c r="G27">
        <f t="shared" si="2"/>
        <v>3.4494999999878928E-3</v>
      </c>
      <c r="H27">
        <f t="shared" si="3"/>
        <v>3.4494999999878928E-3</v>
      </c>
      <c r="O27">
        <f t="shared" ca="1" si="4"/>
        <v>-6.6638009758672213E-3</v>
      </c>
      <c r="Q27" s="2">
        <f t="shared" si="5"/>
        <v>39168.981699999997</v>
      </c>
      <c r="V27">
        <f t="shared" ca="1" si="6"/>
        <v>1.02278856628232E-4</v>
      </c>
    </row>
    <row r="28" spans="1:22" x14ac:dyDescent="0.2">
      <c r="A28" s="30" t="s">
        <v>52</v>
      </c>
      <c r="B28" s="59" t="s">
        <v>53</v>
      </c>
      <c r="C28" s="30">
        <v>55627.647199999999</v>
      </c>
      <c r="D28" s="30">
        <v>2.5000000000000001E-3</v>
      </c>
      <c r="E28">
        <f t="shared" si="0"/>
        <v>2238.5347210177556</v>
      </c>
      <c r="F28">
        <f t="shared" si="1"/>
        <v>2238.5</v>
      </c>
      <c r="G28">
        <f t="shared" si="2"/>
        <v>3.3831500004453119E-2</v>
      </c>
      <c r="H28">
        <f t="shared" si="3"/>
        <v>3.3831500004453119E-2</v>
      </c>
      <c r="O28">
        <f t="shared" ca="1" si="4"/>
        <v>-1.0821827368214137E-2</v>
      </c>
      <c r="Q28" s="2">
        <f t="shared" si="5"/>
        <v>40609.147199999999</v>
      </c>
      <c r="V28">
        <f t="shared" ca="1" si="6"/>
        <v>1.9939196454505951E-3</v>
      </c>
    </row>
    <row r="29" spans="1:22" x14ac:dyDescent="0.2">
      <c r="A29" s="34" t="s">
        <v>45</v>
      </c>
      <c r="C29" s="9">
        <v>56357.906999999999</v>
      </c>
      <c r="D29" s="9">
        <v>0.02</v>
      </c>
      <c r="E29">
        <f t="shared" si="0"/>
        <v>2987.9949424301185</v>
      </c>
      <c r="F29">
        <f t="shared" si="1"/>
        <v>2988</v>
      </c>
      <c r="G29">
        <f t="shared" si="2"/>
        <v>-4.9280000021099113E-3</v>
      </c>
      <c r="I29">
        <f>+G29</f>
        <v>-4.9280000021099113E-3</v>
      </c>
      <c r="O29">
        <f t="shared" ca="1" si="4"/>
        <v>-1.2930379994103187E-2</v>
      </c>
      <c r="Q29" s="2">
        <f t="shared" si="5"/>
        <v>41339.406999999999</v>
      </c>
      <c r="V29">
        <f ca="1">+(O29-I29)^2</f>
        <v>6.4038085536254307E-5</v>
      </c>
    </row>
    <row r="30" spans="1:22" x14ac:dyDescent="0.2">
      <c r="A30" s="60" t="s">
        <v>69</v>
      </c>
      <c r="B30" s="61" t="s">
        <v>53</v>
      </c>
      <c r="C30" s="62">
        <v>56002.595999999998</v>
      </c>
      <c r="D30" s="62">
        <v>6.0000000000000001E-3</v>
      </c>
      <c r="E30">
        <f>+(C30-C$7)/C$8</f>
        <v>2623.341896034508</v>
      </c>
      <c r="F30">
        <f t="shared" si="1"/>
        <v>2623.5</v>
      </c>
      <c r="G30">
        <f>+C30-(C$7+F30*C$8)</f>
        <v>-0.15405350000219187</v>
      </c>
      <c r="H30">
        <f t="shared" si="3"/>
        <v>-0.15405350000219187</v>
      </c>
      <c r="O30">
        <f ca="1">+C$11+C$12*$F30</f>
        <v>-1.1904939791119118E-2</v>
      </c>
      <c r="Q30" s="2">
        <f>+C30-15018.5</f>
        <v>40984.095999999998</v>
      </c>
      <c r="V30">
        <f ca="1">+(O30-H30)^2</f>
        <v>2.0206213170080974E-2</v>
      </c>
    </row>
    <row r="31" spans="1:22" x14ac:dyDescent="0.2">
      <c r="A31" s="34" t="s">
        <v>70</v>
      </c>
      <c r="C31" s="9">
        <v>56357.906999999999</v>
      </c>
      <c r="D31" s="9">
        <v>0.02</v>
      </c>
      <c r="E31">
        <f>+(C31-C$7)/C$8</f>
        <v>2987.9949424301185</v>
      </c>
      <c r="F31">
        <f>ROUND(2*E31,0)/2</f>
        <v>2988</v>
      </c>
      <c r="G31">
        <f>+C31-(C$7+F31*C$8)</f>
        <v>-4.9280000021099113E-3</v>
      </c>
      <c r="H31">
        <f>+G31</f>
        <v>-4.9280000021099113E-3</v>
      </c>
      <c r="O31">
        <f ca="1">+C$11+C$12*$F31</f>
        <v>-1.2930379994103187E-2</v>
      </c>
      <c r="Q31" s="2">
        <f>+C31-15018.5</f>
        <v>41339.406999999999</v>
      </c>
      <c r="V31">
        <f ca="1">+(O31-H31)^2</f>
        <v>6.4038085536254307E-5</v>
      </c>
    </row>
    <row r="32" spans="1:22" x14ac:dyDescent="0.2">
      <c r="A32" s="65" t="s">
        <v>71</v>
      </c>
      <c r="B32" s="66" t="s">
        <v>53</v>
      </c>
      <c r="C32" s="65">
        <v>56745.6374</v>
      </c>
      <c r="D32" s="65">
        <v>3.0000000000000001E-3</v>
      </c>
      <c r="E32">
        <f>+(C32-C$7)/C$8</f>
        <v>3385.9197788134229</v>
      </c>
      <c r="F32">
        <f>ROUND(2*E32,0)/2</f>
        <v>3386</v>
      </c>
      <c r="G32">
        <f>+C32-(C$7+F32*C$8)</f>
        <v>-7.8165999999328051E-2</v>
      </c>
      <c r="H32">
        <f>+G32</f>
        <v>-7.8165999999328051E-2</v>
      </c>
      <c r="O32">
        <f ca="1">+C$11+C$12*$F32</f>
        <v>-1.4050065044275088E-2</v>
      </c>
      <c r="Q32" s="2">
        <f>+C32-15018.5</f>
        <v>41727.1374</v>
      </c>
      <c r="V32">
        <f ca="1">+(O32-H32)^2</f>
        <v>4.1108531151605827E-3</v>
      </c>
    </row>
    <row r="33" spans="1:22" x14ac:dyDescent="0.2">
      <c r="A33" s="67" t="s">
        <v>72</v>
      </c>
      <c r="B33" s="68"/>
      <c r="C33" s="67">
        <v>57100.495799999997</v>
      </c>
      <c r="D33" s="67">
        <v>8.0000000000000004E-4</v>
      </c>
      <c r="E33">
        <f>+(C33-C$7)/C$8</f>
        <v>3750.1083251828586</v>
      </c>
      <c r="F33">
        <f>ROUND(2*E33,0)/2</f>
        <v>3750</v>
      </c>
      <c r="G33">
        <f>+C33-(C$7+F33*C$8)</f>
        <v>0.10555000000022119</v>
      </c>
      <c r="H33">
        <f>+G33</f>
        <v>0.10555000000022119</v>
      </c>
      <c r="O33">
        <f ca="1">+C$11+C$12*$F33</f>
        <v>-1.507409860774889E-2</v>
      </c>
      <c r="Q33" s="2">
        <f>+C33-15018.5</f>
        <v>42081.995799999997</v>
      </c>
      <c r="V33">
        <f ca="1">+(O33-H33)^2</f>
        <v>1.4550173164985289E-2</v>
      </c>
    </row>
    <row r="34" spans="1:22" x14ac:dyDescent="0.2">
      <c r="C34" s="9"/>
      <c r="D34" s="9"/>
    </row>
    <row r="35" spans="1:22" x14ac:dyDescent="0.2">
      <c r="C35" s="9"/>
      <c r="D35" s="9"/>
    </row>
    <row r="36" spans="1:22" x14ac:dyDescent="0.2">
      <c r="C36" s="9"/>
      <c r="D36" s="9"/>
    </row>
    <row r="37" spans="1:22" x14ac:dyDescent="0.2">
      <c r="C37" s="9"/>
      <c r="D37" s="9"/>
    </row>
    <row r="38" spans="1:22" x14ac:dyDescent="0.2">
      <c r="C38" s="9"/>
      <c r="D38" s="9"/>
    </row>
    <row r="39" spans="1:22" x14ac:dyDescent="0.2">
      <c r="C39" s="9"/>
      <c r="D39" s="9"/>
    </row>
    <row r="40" spans="1:22" x14ac:dyDescent="0.2">
      <c r="C40" s="9"/>
      <c r="D40" s="9"/>
    </row>
    <row r="41" spans="1:22" x14ac:dyDescent="0.2">
      <c r="C41" s="9"/>
      <c r="D41" s="9"/>
    </row>
    <row r="42" spans="1:22" x14ac:dyDescent="0.2">
      <c r="C42" s="9"/>
      <c r="D42" s="9"/>
    </row>
    <row r="43" spans="1:22" x14ac:dyDescent="0.2"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9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D1" t="s">
        <v>41</v>
      </c>
    </row>
    <row r="2" spans="1:7" x14ac:dyDescent="0.2">
      <c r="A2" t="s">
        <v>24</v>
      </c>
      <c r="B2" t="s">
        <v>49</v>
      </c>
      <c r="D2" s="33" t="s">
        <v>47</v>
      </c>
    </row>
    <row r="3" spans="1:7" ht="13.5" thickBot="1" x14ac:dyDescent="0.25"/>
    <row r="4" spans="1:7" ht="14.25" thickTop="1" thickBot="1" x14ac:dyDescent="0.25">
      <c r="A4" s="4" t="s">
        <v>0</v>
      </c>
      <c r="C4" s="7" t="s">
        <v>30</v>
      </c>
      <c r="D4" s="8" t="s">
        <v>30</v>
      </c>
    </row>
    <row r="6" spans="1:7" x14ac:dyDescent="0.2">
      <c r="A6" s="4" t="s">
        <v>1</v>
      </c>
    </row>
    <row r="7" spans="1:7" x14ac:dyDescent="0.2">
      <c r="A7" t="s">
        <v>2</v>
      </c>
      <c r="C7" s="32">
        <v>53446.461499999998</v>
      </c>
    </row>
    <row r="8" spans="1:7" x14ac:dyDescent="0.2">
      <c r="A8" t="s">
        <v>3</v>
      </c>
      <c r="C8" s="9">
        <v>2.0027789999999999</v>
      </c>
      <c r="D8" s="29" t="s">
        <v>39</v>
      </c>
    </row>
    <row r="9" spans="1:7" x14ac:dyDescent="0.2">
      <c r="A9" s="10" t="s">
        <v>32</v>
      </c>
      <c r="B9" s="11"/>
      <c r="C9" s="12">
        <v>-9.5</v>
      </c>
      <c r="D9" s="11" t="s">
        <v>33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4">
        <f ca="1">INTERCEPT(INDIRECT($G$11):G991,INDIRECT($F$11):F991)</f>
        <v>1.4080630703730782E-2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x14ac:dyDescent="0.2">
      <c r="A12" s="11" t="s">
        <v>16</v>
      </c>
      <c r="B12" s="11"/>
      <c r="C12" s="24">
        <f ca="1">SLOPE(INDIRECT($G$11):G991,INDIRECT($F$11):F991)</f>
        <v>-2.6486031509790982E-6</v>
      </c>
      <c r="D12" s="13"/>
      <c r="E12" s="11"/>
    </row>
    <row r="13" spans="1:7" x14ac:dyDescent="0.2">
      <c r="A13" s="11" t="s">
        <v>19</v>
      </c>
      <c r="B13" s="11"/>
      <c r="C13" s="13" t="s">
        <v>13</v>
      </c>
      <c r="D13" s="13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4" t="s">
        <v>17</v>
      </c>
      <c r="B15" s="11"/>
      <c r="C15" s="15">
        <f ca="1">(C7+C11)+(C8+C12)*INT(MAX(F21:F3532))</f>
        <v>57099.539645578552</v>
      </c>
      <c r="D15" s="16" t="s">
        <v>34</v>
      </c>
      <c r="E15" s="17">
        <f ca="1">TODAY()+15018.5-B9/24</f>
        <v>60315.5</v>
      </c>
    </row>
    <row r="16" spans="1:7" x14ac:dyDescent="0.2">
      <c r="A16" s="18" t="s">
        <v>4</v>
      </c>
      <c r="B16" s="11"/>
      <c r="C16" s="19">
        <f ca="1">+C8+C12</f>
        <v>2.0027763513968488</v>
      </c>
      <c r="D16" s="16" t="s">
        <v>35</v>
      </c>
      <c r="E16" s="17">
        <f ca="1">ROUND(2*(E15-C15)/C16,0)/2+1</f>
        <v>1607</v>
      </c>
    </row>
    <row r="17" spans="1:22" ht="13.5" thickBot="1" x14ac:dyDescent="0.25">
      <c r="A17" s="16" t="s">
        <v>31</v>
      </c>
      <c r="B17" s="11"/>
      <c r="C17" s="11">
        <f>COUNT(C21:C2190)</f>
        <v>13</v>
      </c>
      <c r="D17" s="16" t="s">
        <v>36</v>
      </c>
      <c r="E17" s="20">
        <f ca="1">+C15+C16*E16-15018.5-C9/24</f>
        <v>45299.897075606626</v>
      </c>
    </row>
    <row r="18" spans="1:22" ht="14.25" thickTop="1" thickBot="1" x14ac:dyDescent="0.25">
      <c r="A18" s="18" t="s">
        <v>5</v>
      </c>
      <c r="B18" s="11"/>
      <c r="C18" s="21">
        <f ca="1">+C15</f>
        <v>57099.539645578552</v>
      </c>
      <c r="D18" s="22">
        <f ca="1">+C16</f>
        <v>2.0027763513968488</v>
      </c>
      <c r="E18" s="23" t="s">
        <v>37</v>
      </c>
      <c r="V18">
        <f ca="1">SQRT(SUM(V21:V27))</f>
        <v>8.5799318689769463E-2</v>
      </c>
    </row>
    <row r="19" spans="1:22" ht="13.5" thickTop="1" x14ac:dyDescent="0.2">
      <c r="A19" s="27" t="s">
        <v>38</v>
      </c>
      <c r="E19" s="28">
        <v>21</v>
      </c>
    </row>
    <row r="20" spans="1:22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>
        <v>2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22" x14ac:dyDescent="0.2">
      <c r="A21" s="30" t="s">
        <v>40</v>
      </c>
      <c r="B21" s="31"/>
      <c r="C21" s="32">
        <v>53446.461499999998</v>
      </c>
      <c r="D21" s="32">
        <v>1.6000000000000001E-3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7" si="3">+G21</f>
        <v>0</v>
      </c>
      <c r="O21">
        <f t="shared" ref="O21:O29" ca="1" si="4">+C$11+C$12*$F21</f>
        <v>1.4080630703730782E-2</v>
      </c>
      <c r="Q21" s="2">
        <f t="shared" ref="Q21:Q29" si="5">+C21-15018.5</f>
        <v>38427.961499999998</v>
      </c>
      <c r="V21">
        <f t="shared" ref="V21:V27" ca="1" si="6">+(O21-H21)^2</f>
        <v>1.9826416101484601E-4</v>
      </c>
    </row>
    <row r="22" spans="1:22" x14ac:dyDescent="0.2">
      <c r="A22" s="30" t="s">
        <v>40</v>
      </c>
      <c r="B22" s="31"/>
      <c r="C22" s="32">
        <v>53463.4755</v>
      </c>
      <c r="D22" s="32">
        <v>2.3999999999999998E-3</v>
      </c>
      <c r="E22">
        <f t="shared" si="0"/>
        <v>8.4951959252632729</v>
      </c>
      <c r="F22">
        <f t="shared" si="1"/>
        <v>8.5</v>
      </c>
      <c r="G22">
        <f t="shared" si="2"/>
        <v>-9.6214999939547852E-3</v>
      </c>
      <c r="H22">
        <f t="shared" si="3"/>
        <v>-9.6214999939547852E-3</v>
      </c>
      <c r="O22">
        <f t="shared" ca="1" si="4"/>
        <v>1.405811757694746E-2</v>
      </c>
      <c r="Q22" s="2">
        <f t="shared" si="5"/>
        <v>38444.9755</v>
      </c>
      <c r="V22">
        <f t="shared" ca="1" si="6"/>
        <v>5.6072428830418236E-4</v>
      </c>
    </row>
    <row r="23" spans="1:22" x14ac:dyDescent="0.2">
      <c r="A23" s="30" t="s">
        <v>40</v>
      </c>
      <c r="B23" s="31"/>
      <c r="C23" s="32">
        <v>53464.558400000002</v>
      </c>
      <c r="D23" s="32">
        <v>7.0000000000000001E-3</v>
      </c>
      <c r="E23">
        <f t="shared" si="0"/>
        <v>9.0358946244214167</v>
      </c>
      <c r="F23">
        <f t="shared" si="1"/>
        <v>9</v>
      </c>
      <c r="G23">
        <f t="shared" si="2"/>
        <v>7.1889000006194692E-2</v>
      </c>
      <c r="H23">
        <f t="shared" si="3"/>
        <v>7.1889000006194692E-2</v>
      </c>
      <c r="O23">
        <f t="shared" ca="1" si="4"/>
        <v>1.405679327537197E-2</v>
      </c>
      <c r="Q23" s="2">
        <f t="shared" si="5"/>
        <v>38446.058400000002</v>
      </c>
      <c r="V23">
        <f t="shared" ca="1" si="6"/>
        <v>3.3445641353566165E-3</v>
      </c>
    </row>
    <row r="24" spans="1:22" x14ac:dyDescent="0.2">
      <c r="A24" s="30" t="s">
        <v>40</v>
      </c>
      <c r="B24" s="31"/>
      <c r="C24" s="32">
        <v>53465.449699999997</v>
      </c>
      <c r="D24" s="32">
        <v>2E-3</v>
      </c>
      <c r="E24">
        <f t="shared" si="0"/>
        <v>9.4809262529713862</v>
      </c>
      <c r="F24">
        <f t="shared" si="1"/>
        <v>9.5</v>
      </c>
      <c r="G24">
        <f t="shared" si="2"/>
        <v>-3.8200499999220483E-2</v>
      </c>
      <c r="H24">
        <f t="shared" si="3"/>
        <v>-3.8200499999220483E-2</v>
      </c>
      <c r="O24">
        <f t="shared" ca="1" si="4"/>
        <v>1.4055468973796481E-2</v>
      </c>
      <c r="Q24" s="2">
        <f t="shared" si="5"/>
        <v>38446.949699999997</v>
      </c>
      <c r="V24">
        <f t="shared" ca="1" si="6"/>
        <v>2.7306862933089118E-3</v>
      </c>
    </row>
    <row r="25" spans="1:22" x14ac:dyDescent="0.2">
      <c r="A25" s="30" t="s">
        <v>42</v>
      </c>
      <c r="C25" s="9">
        <v>54185.491499999996</v>
      </c>
      <c r="D25" s="9">
        <v>3.0999999999999999E-3</v>
      </c>
      <c r="E25">
        <f t="shared" si="0"/>
        <v>369.00227134396698</v>
      </c>
      <c r="F25">
        <f t="shared" si="1"/>
        <v>369</v>
      </c>
      <c r="G25">
        <f t="shared" si="2"/>
        <v>4.5489999974961393E-3</v>
      </c>
      <c r="H25">
        <f t="shared" si="3"/>
        <v>4.5489999974961393E-3</v>
      </c>
      <c r="O25">
        <f t="shared" ca="1" si="4"/>
        <v>1.3103296141019495E-2</v>
      </c>
      <c r="Q25" s="2">
        <f t="shared" si="5"/>
        <v>39166.991499999996</v>
      </c>
      <c r="V25">
        <f t="shared" ca="1" si="6"/>
        <v>7.3175982511098552E-5</v>
      </c>
    </row>
    <row r="26" spans="1:22" x14ac:dyDescent="0.2">
      <c r="A26" s="30" t="s">
        <v>42</v>
      </c>
      <c r="C26" s="9">
        <v>54186.504200000003</v>
      </c>
      <c r="D26" s="9">
        <v>3.2000000000000002E-3</v>
      </c>
      <c r="E26">
        <f t="shared" si="0"/>
        <v>369.5079187469039</v>
      </c>
      <c r="F26">
        <f t="shared" si="1"/>
        <v>369.5</v>
      </c>
      <c r="G26">
        <f t="shared" si="2"/>
        <v>1.585950000298908E-2</v>
      </c>
      <c r="H26">
        <f t="shared" si="3"/>
        <v>1.585950000298908E-2</v>
      </c>
      <c r="O26">
        <f t="shared" ca="1" si="4"/>
        <v>1.3101971839444006E-2</v>
      </c>
      <c r="Q26" s="2">
        <f t="shared" si="5"/>
        <v>39168.004200000003</v>
      </c>
      <c r="V26">
        <f t="shared" ca="1" si="6"/>
        <v>7.603961572744267E-6</v>
      </c>
    </row>
    <row r="27" spans="1:22" x14ac:dyDescent="0.2">
      <c r="A27" s="30" t="s">
        <v>42</v>
      </c>
      <c r="C27" s="9">
        <v>54187.481699999997</v>
      </c>
      <c r="D27" s="9">
        <v>5.4000000000000003E-3</v>
      </c>
      <c r="E27">
        <f t="shared" si="0"/>
        <v>369.995990571101</v>
      </c>
      <c r="F27">
        <f t="shared" si="1"/>
        <v>370</v>
      </c>
      <c r="G27">
        <f t="shared" si="2"/>
        <v>-8.0300000045099296E-3</v>
      </c>
      <c r="H27">
        <f t="shared" si="3"/>
        <v>-8.0300000045099296E-3</v>
      </c>
      <c r="O27">
        <f t="shared" ca="1" si="4"/>
        <v>1.3100647537868515E-2</v>
      </c>
      <c r="Q27" s="2">
        <f t="shared" si="5"/>
        <v>39168.981699999997</v>
      </c>
      <c r="V27">
        <f t="shared" ca="1" si="6"/>
        <v>4.4650426556022417E-4</v>
      </c>
    </row>
    <row r="28" spans="1:22" x14ac:dyDescent="0.2">
      <c r="A28" s="34" t="s">
        <v>45</v>
      </c>
      <c r="C28" s="9">
        <v>56357.906999999999</v>
      </c>
      <c r="D28" s="9">
        <v>0.02</v>
      </c>
      <c r="E28">
        <f t="shared" si="0"/>
        <v>1453.7028299178301</v>
      </c>
      <c r="F28">
        <f t="shared" si="1"/>
        <v>1453.5</v>
      </c>
      <c r="G28">
        <f t="shared" si="2"/>
        <v>0.40622350000194274</v>
      </c>
      <c r="I28">
        <f>+G28</f>
        <v>0.40622350000194274</v>
      </c>
      <c r="O28">
        <f t="shared" ca="1" si="4"/>
        <v>1.0230886023782663E-2</v>
      </c>
      <c r="Q28" s="2">
        <f t="shared" si="5"/>
        <v>41339.406999999999</v>
      </c>
      <c r="V28">
        <f ca="1">+(O28-I28)^2</f>
        <v>0.15681015032525611</v>
      </c>
    </row>
    <row r="29" spans="1:22" x14ac:dyDescent="0.2">
      <c r="A29" s="36" t="s">
        <v>52</v>
      </c>
      <c r="B29" s="37" t="s">
        <v>53</v>
      </c>
      <c r="C29" s="36">
        <v>55627.647199999999</v>
      </c>
      <c r="D29" s="36">
        <v>2.5000000000000001E-3</v>
      </c>
      <c r="E29">
        <f t="shared" si="0"/>
        <v>1089.0795739320224</v>
      </c>
      <c r="F29">
        <f t="shared" si="1"/>
        <v>1089</v>
      </c>
      <c r="G29">
        <f t="shared" si="2"/>
        <v>0.15936900000087917</v>
      </c>
      <c r="H29">
        <f>+G29</f>
        <v>0.15936900000087917</v>
      </c>
      <c r="O29">
        <f t="shared" ca="1" si="4"/>
        <v>1.1196301872314544E-2</v>
      </c>
      <c r="Q29" s="2">
        <f t="shared" si="5"/>
        <v>40609.147199999999</v>
      </c>
      <c r="V29">
        <f ca="1">+(O29-H29)^2</f>
        <v>2.1955148470698738E-2</v>
      </c>
    </row>
    <row r="30" spans="1:22" x14ac:dyDescent="0.2">
      <c r="A30" s="63" t="s">
        <v>69</v>
      </c>
      <c r="B30" s="63" t="s">
        <v>53</v>
      </c>
      <c r="C30" s="64">
        <v>56002.595999999998</v>
      </c>
      <c r="D30" s="64">
        <v>6.0000000000000001E-3</v>
      </c>
      <c r="E30">
        <f>+(C30-C$7)/C$8</f>
        <v>1276.2938397097234</v>
      </c>
      <c r="F30">
        <f>ROUND(2*E30,0)/2</f>
        <v>1276.5</v>
      </c>
      <c r="G30">
        <f>+C30-(C$7+F30*C$8)</f>
        <v>-0.41289349999715341</v>
      </c>
      <c r="H30">
        <f>+G30</f>
        <v>-0.41289349999715341</v>
      </c>
      <c r="O30">
        <f ca="1">+C$11+C$12*$F30</f>
        <v>1.0699688781505963E-2</v>
      </c>
      <c r="Q30" s="2">
        <f>+C30-15018.5</f>
        <v>40984.095999999998</v>
      </c>
      <c r="V30">
        <f ca="1">+(O30-H30)^2</f>
        <v>0.17943118957967294</v>
      </c>
    </row>
    <row r="31" spans="1:22" x14ac:dyDescent="0.2">
      <c r="A31" s="34" t="s">
        <v>70</v>
      </c>
      <c r="C31" s="9">
        <v>56357.906999999999</v>
      </c>
      <c r="D31" s="9">
        <v>0.02</v>
      </c>
      <c r="E31">
        <f>+(C31-C$7)/C$8</f>
        <v>1453.7028299178301</v>
      </c>
      <c r="F31">
        <f>ROUND(2*E31,0)/2</f>
        <v>1453.5</v>
      </c>
      <c r="G31">
        <f>+C31-(C$7+F31*C$8)</f>
        <v>0.40622350000194274</v>
      </c>
      <c r="H31">
        <f>+G31</f>
        <v>0.40622350000194274</v>
      </c>
      <c r="O31">
        <f ca="1">+C$11+C$12*$F31</f>
        <v>1.0230886023782663E-2</v>
      </c>
      <c r="Q31" s="2">
        <f>+C31-15018.5</f>
        <v>41339.406999999999</v>
      </c>
      <c r="V31">
        <f ca="1">+(O31-H31)^2</f>
        <v>0.15681015032525611</v>
      </c>
    </row>
    <row r="32" spans="1:22" x14ac:dyDescent="0.2">
      <c r="A32" s="65" t="s">
        <v>71</v>
      </c>
      <c r="B32" s="66" t="s">
        <v>53</v>
      </c>
      <c r="C32" s="65">
        <v>56745.6374</v>
      </c>
      <c r="D32" s="65">
        <v>3.0000000000000001E-3</v>
      </c>
      <c r="E32">
        <f>+(C32-C$7)/C$8</f>
        <v>1647.2990280005943</v>
      </c>
      <c r="F32">
        <f>ROUND(2*E32,0)/2</f>
        <v>1647.5</v>
      </c>
      <c r="G32">
        <f>+C32-(C$7+F32*C$8)</f>
        <v>-0.40250250000099186</v>
      </c>
      <c r="H32">
        <f>+G32</f>
        <v>-0.40250250000099186</v>
      </c>
      <c r="O32">
        <f ca="1">+C$11+C$12*$F32</f>
        <v>9.7170570124927181E-3</v>
      </c>
      <c r="Q32" s="2">
        <f>+C32-15018.5</f>
        <v>41727.1374</v>
      </c>
      <c r="V32">
        <f ca="1">+(O32-H32)^2</f>
        <v>0.16992496318439346</v>
      </c>
    </row>
    <row r="33" spans="1:22" x14ac:dyDescent="0.2">
      <c r="A33" s="67" t="s">
        <v>72</v>
      </c>
      <c r="B33" s="68"/>
      <c r="C33" s="67">
        <v>57100.495799999997</v>
      </c>
      <c r="D33" s="67">
        <v>8.0000000000000004E-4</v>
      </c>
      <c r="E33">
        <f>+(C33-C$7)/C$8</f>
        <v>1824.4820322162354</v>
      </c>
      <c r="F33">
        <f>ROUND(2*E33,0)/2</f>
        <v>1824.5</v>
      </c>
      <c r="G33">
        <f>+C33-(C$7+F33*C$8)</f>
        <v>-3.5985499998787418E-2</v>
      </c>
      <c r="H33">
        <f>+G33</f>
        <v>-3.5985499998787418E-2</v>
      </c>
      <c r="O33">
        <f ca="1">+C$11+C$12*$F33</f>
        <v>9.2482542547694183E-3</v>
      </c>
      <c r="Q33" s="2">
        <f>+C33-15018.5</f>
        <v>42081.995799999997</v>
      </c>
      <c r="V33">
        <f ca="1">+(O33-H33)^2</f>
        <v>2.0460925238711711E-3</v>
      </c>
    </row>
    <row r="34" spans="1:22" x14ac:dyDescent="0.2">
      <c r="C34" s="9"/>
      <c r="D34" s="9"/>
    </row>
    <row r="35" spans="1:22" x14ac:dyDescent="0.2">
      <c r="C35" s="9"/>
      <c r="D35" s="9"/>
    </row>
    <row r="36" spans="1:22" x14ac:dyDescent="0.2">
      <c r="C36" s="9"/>
      <c r="D36" s="9"/>
    </row>
    <row r="37" spans="1:22" x14ac:dyDescent="0.2">
      <c r="C37" s="9"/>
      <c r="D37" s="9"/>
    </row>
    <row r="38" spans="1:22" x14ac:dyDescent="0.2">
      <c r="C38" s="9"/>
      <c r="D38" s="9"/>
    </row>
    <row r="39" spans="1:22" x14ac:dyDescent="0.2">
      <c r="C39" s="9"/>
      <c r="D39" s="9"/>
    </row>
    <row r="40" spans="1:22" x14ac:dyDescent="0.2">
      <c r="C40" s="9"/>
      <c r="D40" s="9"/>
    </row>
    <row r="41" spans="1:22" x14ac:dyDescent="0.2">
      <c r="C41" s="9"/>
      <c r="D41" s="9"/>
    </row>
    <row r="42" spans="1:22" x14ac:dyDescent="0.2">
      <c r="C42" s="9"/>
      <c r="D42" s="9"/>
    </row>
    <row r="43" spans="1:22" x14ac:dyDescent="0.2"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workbookViewId="0">
      <selection activeCell="E13" sqref="E12: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9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24</v>
      </c>
      <c r="B2" t="s">
        <v>49</v>
      </c>
      <c r="D2" s="33" t="s">
        <v>47</v>
      </c>
    </row>
    <row r="3" spans="1:7" ht="13.5" thickBot="1" x14ac:dyDescent="0.25"/>
    <row r="4" spans="1:7" ht="14.25" thickTop="1" thickBot="1" x14ac:dyDescent="0.25">
      <c r="A4" s="4" t="s">
        <v>0</v>
      </c>
      <c r="C4" s="7" t="s">
        <v>30</v>
      </c>
      <c r="D4" s="8" t="s">
        <v>30</v>
      </c>
    </row>
    <row r="6" spans="1:7" x14ac:dyDescent="0.2">
      <c r="A6" s="4" t="s">
        <v>1</v>
      </c>
    </row>
    <row r="7" spans="1:7" x14ac:dyDescent="0.2">
      <c r="A7" t="s">
        <v>2</v>
      </c>
      <c r="C7" s="32">
        <v>53446.461499999998</v>
      </c>
    </row>
    <row r="8" spans="1:7" x14ac:dyDescent="0.2">
      <c r="A8" t="s">
        <v>3</v>
      </c>
      <c r="C8" s="32">
        <v>2.1204879999999999</v>
      </c>
      <c r="D8" s="29" t="s">
        <v>48</v>
      </c>
    </row>
    <row r="9" spans="1:7" x14ac:dyDescent="0.2">
      <c r="A9" s="10" t="s">
        <v>32</v>
      </c>
      <c r="B9" s="11"/>
      <c r="C9" s="12">
        <v>8</v>
      </c>
      <c r="D9" s="11" t="s">
        <v>33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4">
        <f ca="1">INTERCEPT(INDIRECT($G$11):G991,INDIRECT($F$11):F991)</f>
        <v>-9.4825550850536379E-3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 x14ac:dyDescent="0.2">
      <c r="A12" s="11" t="s">
        <v>16</v>
      </c>
      <c r="B12" s="11"/>
      <c r="C12" s="24">
        <f ca="1">SLOPE(INDIRECT($G$11):G991,INDIRECT($F$11):F991)</f>
        <v>4.3176468534682848E-5</v>
      </c>
      <c r="D12" s="13"/>
      <c r="E12" s="11"/>
    </row>
    <row r="13" spans="1:7" x14ac:dyDescent="0.2">
      <c r="A13" s="11" t="s">
        <v>19</v>
      </c>
      <c r="B13" s="11"/>
      <c r="C13" s="13" t="s">
        <v>13</v>
      </c>
      <c r="D13" s="13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4" t="s">
        <v>17</v>
      </c>
      <c r="B15" s="11"/>
      <c r="C15" s="15">
        <f ca="1">(C7+C11)+(C8+C12)*INT(MAX(F21:F3532))</f>
        <v>57100.1272345002</v>
      </c>
      <c r="D15" s="16" t="s">
        <v>34</v>
      </c>
      <c r="E15" s="17">
        <f ca="1">TODAY()+15018.5-B9/24</f>
        <v>60315.5</v>
      </c>
    </row>
    <row r="16" spans="1:7" x14ac:dyDescent="0.2">
      <c r="A16" s="18" t="s">
        <v>4</v>
      </c>
      <c r="B16" s="11"/>
      <c r="C16" s="19">
        <f ca="1">+C8+C12</f>
        <v>2.1205311764685346</v>
      </c>
      <c r="D16" s="16" t="s">
        <v>35</v>
      </c>
      <c r="E16" s="17">
        <f ca="1">ROUND(2*(E15-C15)/C16,0)/2+1</f>
        <v>1517.5</v>
      </c>
    </row>
    <row r="17" spans="1:22" ht="13.5" thickBot="1" x14ac:dyDescent="0.25">
      <c r="A17" s="16" t="s">
        <v>31</v>
      </c>
      <c r="B17" s="11"/>
      <c r="C17" s="11">
        <f>COUNT(C21:C2190)</f>
        <v>13</v>
      </c>
      <c r="D17" s="16" t="s">
        <v>36</v>
      </c>
      <c r="E17" s="20">
        <f ca="1">+C15+C16*E16-15018.5-C9/24</f>
        <v>45299.199961457867</v>
      </c>
    </row>
    <row r="18" spans="1:22" ht="14.25" thickTop="1" thickBot="1" x14ac:dyDescent="0.25">
      <c r="A18" s="18" t="s">
        <v>5</v>
      </c>
      <c r="B18" s="11"/>
      <c r="C18" s="21">
        <f ca="1">+C15</f>
        <v>57100.1272345002</v>
      </c>
      <c r="D18" s="22">
        <f ca="1">+C16</f>
        <v>2.1205311764685346</v>
      </c>
      <c r="E18" s="23" t="s">
        <v>37</v>
      </c>
      <c r="V18">
        <f ca="1">SQRT(SUM(V21:V27))</f>
        <v>0.16867478032974964</v>
      </c>
    </row>
    <row r="19" spans="1:22" ht="13.5" thickTop="1" x14ac:dyDescent="0.2">
      <c r="A19" s="27" t="s">
        <v>38</v>
      </c>
      <c r="E19" s="28">
        <v>21</v>
      </c>
    </row>
    <row r="20" spans="1:22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46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22" x14ac:dyDescent="0.2">
      <c r="A21" s="30" t="s">
        <v>40</v>
      </c>
      <c r="B21" s="31"/>
      <c r="C21" s="32">
        <v>53446.461499999998</v>
      </c>
      <c r="D21" s="32">
        <v>1.6000000000000001E-3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7" si="3">+G21</f>
        <v>0</v>
      </c>
      <c r="O21">
        <f t="shared" ref="O21:O29" ca="1" si="4">+C$11+C$12*$F21</f>
        <v>-9.4825550850536379E-3</v>
      </c>
      <c r="Q21" s="2">
        <f t="shared" ref="Q21:Q29" si="5">+C21-15018.5</f>
        <v>38427.961499999998</v>
      </c>
      <c r="V21">
        <f t="shared" ref="V21:V27" ca="1" si="6">+(O21-H21)^2</f>
        <v>8.991885094107661E-5</v>
      </c>
    </row>
    <row r="22" spans="1:22" x14ac:dyDescent="0.2">
      <c r="A22" s="30" t="s">
        <v>40</v>
      </c>
      <c r="B22" s="31"/>
      <c r="C22" s="32">
        <v>53463.4755</v>
      </c>
      <c r="D22" s="32">
        <v>2.3999999999999998E-3</v>
      </c>
      <c r="E22">
        <f t="shared" si="0"/>
        <v>8.0236247505304696</v>
      </c>
      <c r="F22">
        <f t="shared" si="1"/>
        <v>8</v>
      </c>
      <c r="G22">
        <f t="shared" si="2"/>
        <v>5.0096000006305985E-2</v>
      </c>
      <c r="H22">
        <f t="shared" si="3"/>
        <v>5.0096000006305985E-2</v>
      </c>
      <c r="O22">
        <f t="shared" ca="1" si="4"/>
        <v>-9.137143336776175E-3</v>
      </c>
      <c r="Q22" s="2">
        <f t="shared" si="5"/>
        <v>38444.9755</v>
      </c>
      <c r="V22">
        <f t="shared" ca="1" si="6"/>
        <v>3.5085652703021187E-3</v>
      </c>
    </row>
    <row r="23" spans="1:22" x14ac:dyDescent="0.2">
      <c r="A23" s="30" t="s">
        <v>40</v>
      </c>
      <c r="B23" s="31"/>
      <c r="C23" s="32">
        <v>53464.558400000002</v>
      </c>
      <c r="D23" s="32">
        <v>7.0000000000000001E-3</v>
      </c>
      <c r="E23">
        <f t="shared" si="0"/>
        <v>8.534309083571376</v>
      </c>
      <c r="F23">
        <f t="shared" si="1"/>
        <v>8.5</v>
      </c>
      <c r="G23">
        <f t="shared" si="2"/>
        <v>7.2752000007312745E-2</v>
      </c>
      <c r="H23">
        <f t="shared" si="3"/>
        <v>7.2752000007312745E-2</v>
      </c>
      <c r="O23">
        <f t="shared" ca="1" si="4"/>
        <v>-9.1155551025088339E-3</v>
      </c>
      <c r="Q23" s="2">
        <f t="shared" si="5"/>
        <v>38446.058400000002</v>
      </c>
      <c r="V23">
        <f t="shared" ca="1" si="6"/>
        <v>6.7022965796596726E-3</v>
      </c>
    </row>
    <row r="24" spans="1:22" x14ac:dyDescent="0.2">
      <c r="A24" s="30" t="s">
        <v>40</v>
      </c>
      <c r="B24" s="31"/>
      <c r="C24" s="32">
        <v>53465.449699999997</v>
      </c>
      <c r="D24" s="32">
        <v>2E-3</v>
      </c>
      <c r="E24">
        <f t="shared" si="0"/>
        <v>8.954636857176169</v>
      </c>
      <c r="F24">
        <f t="shared" si="1"/>
        <v>9</v>
      </c>
      <c r="G24">
        <f t="shared" si="2"/>
        <v>-9.6191999997245148E-2</v>
      </c>
      <c r="H24">
        <f t="shared" si="3"/>
        <v>-9.6191999997245148E-2</v>
      </c>
      <c r="O24">
        <f t="shared" ca="1" si="4"/>
        <v>-9.0939668682414928E-3</v>
      </c>
      <c r="Q24" s="2">
        <f t="shared" si="5"/>
        <v>38446.949699999997</v>
      </c>
      <c r="V24">
        <f t="shared" ca="1" si="6"/>
        <v>7.5860673749410194E-3</v>
      </c>
    </row>
    <row r="25" spans="1:22" x14ac:dyDescent="0.2">
      <c r="A25" s="30" t="s">
        <v>42</v>
      </c>
      <c r="C25" s="9">
        <v>54185.491499999996</v>
      </c>
      <c r="D25" s="9">
        <v>3.0999999999999999E-3</v>
      </c>
      <c r="E25">
        <f t="shared" si="0"/>
        <v>348.51883151425466</v>
      </c>
      <c r="F25">
        <f t="shared" si="1"/>
        <v>348.5</v>
      </c>
      <c r="G25">
        <f t="shared" si="2"/>
        <v>3.9931999999680556E-2</v>
      </c>
      <c r="H25">
        <f t="shared" si="3"/>
        <v>3.9931999999680556E-2</v>
      </c>
      <c r="O25">
        <f t="shared" ca="1" si="4"/>
        <v>5.5644441992833346E-3</v>
      </c>
      <c r="Q25" s="2">
        <f t="shared" si="5"/>
        <v>39166.991499999996</v>
      </c>
      <c r="V25">
        <f t="shared" ca="1" si="6"/>
        <v>1.1811288916934166E-3</v>
      </c>
    </row>
    <row r="26" spans="1:22" x14ac:dyDescent="0.2">
      <c r="A26" s="30" t="s">
        <v>42</v>
      </c>
      <c r="C26" s="9">
        <v>54186.504200000003</v>
      </c>
      <c r="D26" s="9">
        <v>3.2000000000000002E-3</v>
      </c>
      <c r="E26">
        <f t="shared" si="0"/>
        <v>348.99641026028229</v>
      </c>
      <c r="F26">
        <f t="shared" si="1"/>
        <v>349</v>
      </c>
      <c r="G26">
        <f t="shared" si="2"/>
        <v>-7.6119999939692207E-3</v>
      </c>
      <c r="H26">
        <f t="shared" si="3"/>
        <v>-7.6119999939692207E-3</v>
      </c>
      <c r="O26">
        <f t="shared" ca="1" si="4"/>
        <v>5.5860324335506757E-3</v>
      </c>
      <c r="Q26" s="2">
        <f t="shared" si="5"/>
        <v>39168.004200000003</v>
      </c>
      <c r="V26">
        <f t="shared" ca="1" si="6"/>
        <v>1.7418805995786672E-4</v>
      </c>
    </row>
    <row r="27" spans="1:22" x14ac:dyDescent="0.2">
      <c r="A27" s="30" t="s">
        <v>42</v>
      </c>
      <c r="C27" s="9">
        <v>54187.481699999997</v>
      </c>
      <c r="D27" s="9">
        <v>5.4000000000000003E-3</v>
      </c>
      <c r="E27">
        <f t="shared" si="0"/>
        <v>349.45738905383996</v>
      </c>
      <c r="F27">
        <f t="shared" si="1"/>
        <v>349.5</v>
      </c>
      <c r="G27">
        <f t="shared" si="2"/>
        <v>-9.0356000000610948E-2</v>
      </c>
      <c r="H27">
        <f t="shared" si="3"/>
        <v>-9.0356000000610948E-2</v>
      </c>
      <c r="O27">
        <f t="shared" ca="1" si="4"/>
        <v>5.6076206678180168E-3</v>
      </c>
      <c r="Q27" s="2">
        <f t="shared" si="5"/>
        <v>39168.981699999997</v>
      </c>
      <c r="V27">
        <f t="shared" ca="1" si="6"/>
        <v>9.2090164917941267E-3</v>
      </c>
    </row>
    <row r="28" spans="1:22" x14ac:dyDescent="0.2">
      <c r="A28" s="34" t="s">
        <v>45</v>
      </c>
      <c r="C28" s="9">
        <v>56357.906999999999</v>
      </c>
      <c r="D28" s="9">
        <v>0.02</v>
      </c>
      <c r="E28">
        <f t="shared" si="0"/>
        <v>1373.0072983200102</v>
      </c>
      <c r="F28">
        <f t="shared" si="1"/>
        <v>1373</v>
      </c>
      <c r="G28">
        <f t="shared" si="2"/>
        <v>1.5476000000489876E-2</v>
      </c>
      <c r="I28">
        <f>+G28</f>
        <v>1.5476000000489876E-2</v>
      </c>
      <c r="O28">
        <f t="shared" ca="1" si="4"/>
        <v>4.9798736213065908E-2</v>
      </c>
      <c r="Q28" s="2">
        <f t="shared" si="5"/>
        <v>41339.406999999999</v>
      </c>
      <c r="V28">
        <f ca="1">+(O28-I28)^2</f>
        <v>1.1780502211180782E-3</v>
      </c>
    </row>
    <row r="29" spans="1:22" x14ac:dyDescent="0.2">
      <c r="A29" s="36" t="s">
        <v>52</v>
      </c>
      <c r="B29" s="37" t="s">
        <v>53</v>
      </c>
      <c r="C29" s="36">
        <v>55627.647199999999</v>
      </c>
      <c r="D29" s="36">
        <v>2.5000000000000001E-3</v>
      </c>
      <c r="E29">
        <f t="shared" si="0"/>
        <v>1028.6244015528509</v>
      </c>
      <c r="F29">
        <f t="shared" si="1"/>
        <v>1028.5</v>
      </c>
      <c r="G29">
        <f t="shared" si="2"/>
        <v>0.26379200000519631</v>
      </c>
      <c r="H29">
        <f>+G29</f>
        <v>0.26379200000519631</v>
      </c>
      <c r="O29">
        <f t="shared" ca="1" si="4"/>
        <v>3.4924442802867675E-2</v>
      </c>
      <c r="Q29" s="2">
        <f t="shared" si="5"/>
        <v>40609.147199999999</v>
      </c>
      <c r="V29">
        <f ca="1">+(O29-H29)^2</f>
        <v>5.2380358739761178E-2</v>
      </c>
    </row>
    <row r="30" spans="1:22" x14ac:dyDescent="0.2">
      <c r="A30" s="63" t="s">
        <v>69</v>
      </c>
      <c r="B30" s="63" t="s">
        <v>53</v>
      </c>
      <c r="C30" s="64">
        <v>56002.595999999998</v>
      </c>
      <c r="D30" s="64">
        <v>6.0000000000000001E-3</v>
      </c>
      <c r="E30">
        <f>+(C30-C$7)/C$8</f>
        <v>1205.4463406536609</v>
      </c>
      <c r="F30">
        <f>ROUND(2*E30,0)/2</f>
        <v>1205.5</v>
      </c>
      <c r="G30">
        <f>+C30-(C$7+F30*C$8)</f>
        <v>-0.11378400000103284</v>
      </c>
      <c r="H30">
        <f>+G30</f>
        <v>-0.11378400000103284</v>
      </c>
      <c r="O30">
        <f ca="1">+C$11+C$12*$F30</f>
        <v>4.2566677733506531E-2</v>
      </c>
      <c r="Q30" s="2">
        <f>+C30-15018.5</f>
        <v>40984.095999999998</v>
      </c>
      <c r="V30">
        <f ca="1">+(O30-H30)^2</f>
        <v>2.4445534428049785E-2</v>
      </c>
    </row>
    <row r="31" spans="1:22" x14ac:dyDescent="0.2">
      <c r="A31" s="34" t="s">
        <v>70</v>
      </c>
      <c r="C31" s="9">
        <v>56357.906999999999</v>
      </c>
      <c r="D31" s="9">
        <v>0.02</v>
      </c>
      <c r="E31">
        <f>+(C31-C$7)/C$8</f>
        <v>1373.0072983200102</v>
      </c>
      <c r="F31">
        <f>ROUND(2*E31,0)/2</f>
        <v>1373</v>
      </c>
      <c r="G31">
        <f>+C31-(C$7+F31*C$8)</f>
        <v>1.5476000000489876E-2</v>
      </c>
      <c r="H31">
        <f>+G31</f>
        <v>1.5476000000489876E-2</v>
      </c>
      <c r="O31">
        <f ca="1">+C$11+C$12*$F31</f>
        <v>4.9798736213065908E-2</v>
      </c>
      <c r="Q31" s="2">
        <f>+C31-15018.5</f>
        <v>41339.406999999999</v>
      </c>
      <c r="V31">
        <f ca="1">+(O31-H31)^2</f>
        <v>1.1780502211180782E-3</v>
      </c>
    </row>
    <row r="32" spans="1:22" x14ac:dyDescent="0.2">
      <c r="A32" s="65" t="s">
        <v>71</v>
      </c>
      <c r="B32" s="66" t="s">
        <v>53</v>
      </c>
      <c r="C32" s="65">
        <v>56745.6374</v>
      </c>
      <c r="D32" s="65">
        <v>3.0000000000000001E-3</v>
      </c>
      <c r="E32">
        <f>+(C32-C$7)/C$8</f>
        <v>1555.8569065234051</v>
      </c>
      <c r="F32">
        <f>ROUND(2*E32,0)/2</f>
        <v>1556</v>
      </c>
      <c r="G32">
        <f>+C32-(C$7+F32*C$8)</f>
        <v>-0.30342799999925774</v>
      </c>
      <c r="H32">
        <f>+G32</f>
        <v>-0.30342799999925774</v>
      </c>
      <c r="O32">
        <f ca="1">+C$11+C$12*$F32</f>
        <v>5.7700029954912871E-2</v>
      </c>
      <c r="Q32" s="2">
        <f>+C32-15018.5</f>
        <v>41727.1374</v>
      </c>
      <c r="V32">
        <f ca="1">+(O32-H32)^2</f>
        <v>0.13041345401858034</v>
      </c>
    </row>
    <row r="33" spans="1:22" x14ac:dyDescent="0.2">
      <c r="A33" s="67" t="s">
        <v>72</v>
      </c>
      <c r="B33" s="68"/>
      <c r="C33" s="67">
        <v>57100.495799999997</v>
      </c>
      <c r="D33" s="67">
        <v>8.0000000000000004E-4</v>
      </c>
      <c r="E33">
        <f>+(C33-C$7)/C$8</f>
        <v>1723.2044227555164</v>
      </c>
      <c r="F33">
        <f>ROUND(2*E33,0)/2</f>
        <v>1723</v>
      </c>
      <c r="G33">
        <f>+C33-(C$7+F33*C$8)</f>
        <v>0.43347599999833619</v>
      </c>
      <c r="H33">
        <f>+G33</f>
        <v>0.43347599999833619</v>
      </c>
      <c r="O33">
        <f ca="1">+C$11+C$12*$F33</f>
        <v>6.4910500200204918E-2</v>
      </c>
      <c r="Q33" s="2">
        <f>+C33-15018.5</f>
        <v>42081.995799999997</v>
      </c>
      <c r="V33">
        <f ca="1">+(O33-H33)^2</f>
        <v>0.13584052764144627</v>
      </c>
    </row>
    <row r="34" spans="1:22" x14ac:dyDescent="0.2">
      <c r="C34" s="9"/>
      <c r="D34" s="9"/>
    </row>
    <row r="35" spans="1:22" x14ac:dyDescent="0.2">
      <c r="C35" s="9"/>
      <c r="D35" s="9"/>
    </row>
    <row r="36" spans="1:22" x14ac:dyDescent="0.2">
      <c r="C36" s="9"/>
      <c r="D36" s="9"/>
    </row>
    <row r="37" spans="1:22" x14ac:dyDescent="0.2">
      <c r="C37" s="9"/>
      <c r="D37" s="9"/>
    </row>
    <row r="38" spans="1:22" x14ac:dyDescent="0.2">
      <c r="C38" s="9"/>
      <c r="D38" s="9"/>
    </row>
    <row r="39" spans="1:22" x14ac:dyDescent="0.2">
      <c r="C39" s="9"/>
      <c r="D39" s="9"/>
    </row>
    <row r="40" spans="1:22" x14ac:dyDescent="0.2">
      <c r="C40" s="9"/>
      <c r="D40" s="9"/>
    </row>
    <row r="41" spans="1:22" x14ac:dyDescent="0.2">
      <c r="C41" s="9"/>
      <c r="D41" s="9"/>
    </row>
    <row r="42" spans="1:22" x14ac:dyDescent="0.2">
      <c r="C42" s="9"/>
      <c r="D42" s="9"/>
    </row>
    <row r="43" spans="1:22" x14ac:dyDescent="0.2">
      <c r="C43" s="9"/>
      <c r="D43" s="9"/>
    </row>
    <row r="44" spans="1:22" x14ac:dyDescent="0.2">
      <c r="C44" s="9"/>
      <c r="D44" s="9"/>
    </row>
    <row r="45" spans="1:22" x14ac:dyDescent="0.2">
      <c r="C45" s="9"/>
      <c r="D45" s="9"/>
    </row>
    <row r="46" spans="1:22" x14ac:dyDescent="0.2">
      <c r="C46" s="9"/>
      <c r="D46" s="9"/>
    </row>
    <row r="47" spans="1:22" x14ac:dyDescent="0.2">
      <c r="C47" s="9"/>
      <c r="D47" s="9"/>
    </row>
    <row r="48" spans="1:22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Period 0.35</vt:lpstr>
      <vt:lpstr>Period 0.58</vt:lpstr>
      <vt:lpstr>Period 0.65</vt:lpstr>
      <vt:lpstr>Period 0.97</vt:lpstr>
      <vt:lpstr>Period 2.00</vt:lpstr>
      <vt:lpstr>Period 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2024-01-06T04:57:42Z</dcterms:modified>
</cp:coreProperties>
</file>