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7583A047-02A2-4DA8-99F9-D75B2AB5D19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6" i="1" l="1"/>
  <c r="D9" i="1"/>
  <c r="C9" i="1"/>
  <c r="Q22" i="1"/>
  <c r="C21" i="1"/>
  <c r="G21" i="1"/>
  <c r="I21" i="1"/>
  <c r="A21" i="1"/>
  <c r="C7" i="1"/>
  <c r="C8" i="1"/>
  <c r="E21" i="1"/>
  <c r="F21" i="1"/>
  <c r="C17" i="1"/>
  <c r="Q21" i="1"/>
  <c r="E22" i="1"/>
  <c r="F22" i="1"/>
  <c r="G22" i="1"/>
  <c r="K22" i="1"/>
  <c r="C12" i="1"/>
  <c r="C11" i="1"/>
  <c r="O22" i="1" l="1"/>
  <c r="O21" i="1"/>
  <c r="C15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<sst xmlns="http://schemas.openxmlformats.org/spreadsheetml/2006/main" count="54" uniqueCount="48">
  <si>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</si>
  <si>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</si>
  <si>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</si>
  <si>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</si>
  <si>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</si>
  <si>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</si>
  <si>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</si>
  <si>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</si>
  <si>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</si>
  <si>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</si>
  <si>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</si>
  <si>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</si>
  <si>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</si>
  <si>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</si>
  <si>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</si>
  <si>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</si>
  <si>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</si>
  <si>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</si>
  <si>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</si>
  <si>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</si>
  <si>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</si>
  <si>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</si>
  <si>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</si>
  <si>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</si>
  <si>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</si>
  <si>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</si>
  <si>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</si>
  <si>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</si>
  <si>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</si>
  <si>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</si>
  <si>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</si>
  <si>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</si>
  <si>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</si>
  <si>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GSC 8934 0380_Vol.xls</t>
  </si>
  <si>
    <t>EW</t>
  </si>
  <si>
    <t>IBVS 5495 Eph.</t>
  </si>
  <si>
    <t>IBVS 5495</t>
  </si>
  <si>
    <t>Vol</t>
  </si>
  <si>
    <t>OEJV 0179</t>
  </si>
  <si>
    <t>II</t>
  </si>
  <si>
    <t>AE Vol / GSC 8934 0380</t>
  </si>
  <si>
    <t>pg</t>
  </si>
  <si>
    <t>vis</t>
  </si>
  <si>
    <t>PE</t>
  </si>
  <si>
    <t>CCD</t>
  </si>
  <si>
    <t>Add cycle</t>
  </si>
  <si>
    <t>Old Cycle</t>
  </si>
  <si>
    <t>ASAS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</si>
</sst>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2" fontId="30" fillId="0" borderId="0" applyFont="0" applyFill="0" applyBorder="0" applyAlignment="0" applyProtection="0"/>
    <xf numFmtId="0" fontId="21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4" applyNumberFormat="0" applyFill="0" applyAlignment="0" applyProtection="0"/>
    <xf numFmtId="0" fontId="25" fillId="22" borderId="0" applyNumberFormat="0" applyBorder="0" applyAlignment="0" applyProtection="0"/>
    <xf numFmtId="0" fontId="15" fillId="0" borderId="0"/>
    <xf numFmtId="0" fontId="15" fillId="23" borderId="5" applyNumberFormat="0" applyFont="0" applyAlignment="0" applyProtection="0"/>
    <xf numFmtId="0" fontId="26" fillId="20" borderId="6" applyNumberFormat="0" applyAlignment="0" applyProtection="0"/>
    <xf numFmtId="0" fontId="27" fillId="0" borderId="0" applyNumberFormat="0" applyFill="0" applyBorder="0" applyAlignment="0" applyProtection="0"/>
    <xf numFmtId="0" fontId="30" fillId="0" borderId="7" applyNumberFormat="0" applyFont="0" applyFill="0" applyAlignment="0" applyProtection="0"/>
    <xf numFmtId="0" fontId="28" fillId="0" borderId="0" applyNumberFormat="0" applyFill="0" applyBorder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4" fillId="0" borderId="0" xfId="0" applyFont="1" applyAlignment="1">
      <alignment vertical="center"/>
    </xf>
    <xf numFmtId="0" fontId="5" fillId="0" borderId="0" xfId="0" applyFont="1">
      <alignment vertical="top"/>
    </xf>
    <xf numFmtId="0" fontId="14" fillId="0" borderId="0" xfId="0" applyFont="1" applyAlignment="1">
      <alignment horizontal="left" vertical="center"/>
    </xf>
    <xf numFmtId="0" fontId="14" fillId="24" borderId="5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29" fillId="0" borderId="0" xfId="41" applyFont="1"/>
    <xf numFmtId="0" fontId="29" fillId="0" borderId="0" xfId="41" applyFont="1" applyAlignment="1">
      <alignment horizontal="center"/>
    </xf>
    <xf numFmtId="0" fontId="29" fillId="0" borderId="0" xfId="41" applyFont="1" applyAlignment="1">
      <alignment horizontal="left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AE Vol - O-C Diagr.</a:t>
            </a:r>
          </a:p>
        </c:rich>
      </c:tx>
      <c:layout>
        <c:manualLayout>
          <c:xMode val="edge"/>
          <c:yMode val="edge"/>
          <c:x val="0.3894736842105263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10730.5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937-4158-8F38-5119FC5285E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10730.5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937-4158-8F38-5119FC5285E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10730.5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937-4158-8F38-5119FC5285E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10730.5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7.1230000030482188E-3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937-4158-8F38-5119FC5285E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10730.5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937-4158-8F38-5119FC5285E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10730.5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937-4158-8F38-5119FC5285E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10730.5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937-4158-8F38-5119FC5285E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10730.5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7.1230000030482188E-3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937-4158-8F38-5119FC5285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1749176"/>
        <c:axId val="1"/>
      </c:scatterChart>
      <c:valAx>
        <c:axId val="621749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17491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263157894736843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46CD33F-4A9E-5895-B812-26E5EBD969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10" sqref="E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40</v>
      </c>
      <c r="E1" s="30"/>
      <c r="F1" s="30" t="s">
        <v>33</v>
      </c>
      <c r="G1" s="31" t="s">
        <v>34</v>
      </c>
      <c r="H1" s="10" t="s">
        <v>35</v>
      </c>
      <c r="I1" s="32">
        <v>52613.631000000001</v>
      </c>
      <c r="J1" s="32">
        <v>0.40661399999999998</v>
      </c>
      <c r="K1" s="33" t="s">
        <v>36</v>
      </c>
      <c r="L1" s="29" t="s">
        <v>37</v>
      </c>
    </row>
    <row r="2" spans="1:12" x14ac:dyDescent="0.2">
      <c r="A2" t="s">
        <v>22</v>
      </c>
      <c r="B2" t="s">
        <v>34</v>
      </c>
      <c r="C2" s="9" t="s">
        <v>37</v>
      </c>
      <c r="D2" t="s">
        <v>33</v>
      </c>
    </row>
    <row r="3" spans="1:12" ht="13.5" thickBot="1" x14ac:dyDescent="0.25"/>
    <row r="4" spans="1:12" ht="14.25" thickTop="1" thickBot="1" x14ac:dyDescent="0.25">
      <c r="A4" s="28" t="s">
        <v>35</v>
      </c>
      <c r="C4" s="7">
        <v>52613.631000000001</v>
      </c>
      <c r="D4" s="8">
        <v>0.40661399999999998</v>
      </c>
    </row>
    <row r="5" spans="1:12" ht="13.5" thickTop="1" x14ac:dyDescent="0.2">
      <c r="A5" s="10" t="s">
        <v>27</v>
      </c>
      <c r="B5" s="11"/>
      <c r="C5" s="12">
        <v>-9.5</v>
      </c>
      <c r="D5" s="11" t="s">
        <v>28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52613.631000000001</v>
      </c>
    </row>
    <row r="8" spans="1:12" x14ac:dyDescent="0.2">
      <c r="A8" t="s">
        <v>2</v>
      </c>
      <c r="C8">
        <f>+D4</f>
        <v>0.40661399999999998</v>
      </c>
    </row>
    <row r="9" spans="1:12" x14ac:dyDescent="0.2">
      <c r="A9" s="26" t="s">
        <v>32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12" ht="13.5" thickBot="1" x14ac:dyDescent="0.25">
      <c r="A10" s="11"/>
      <c r="B10" s="11"/>
      <c r="C10" s="3" t="s">
        <v>18</v>
      </c>
      <c r="D10" s="3" t="s">
        <v>19</v>
      </c>
      <c r="E10" s="11"/>
    </row>
    <row r="11" spans="1:12" x14ac:dyDescent="0.2">
      <c r="A11" s="11" t="s">
        <v>14</v>
      </c>
      <c r="B11" s="11"/>
      <c r="C11" s="23">
        <f ca="1">INTERCEPT(INDIRECT($D$9):G992,INDIRECT($C$9):F992)</f>
        <v>0</v>
      </c>
      <c r="D11" s="13"/>
      <c r="E11" s="11"/>
    </row>
    <row r="12" spans="1:12" x14ac:dyDescent="0.2">
      <c r="A12" s="11" t="s">
        <v>15</v>
      </c>
      <c r="B12" s="11"/>
      <c r="C12" s="23">
        <f ca="1">SLOPE(INDIRECT($D$9):G992,INDIRECT($C$9):F992)</f>
        <v>6.6380876967971847E-7</v>
      </c>
      <c r="D12" s="13"/>
      <c r="E12" s="11"/>
    </row>
    <row r="13" spans="1:12" x14ac:dyDescent="0.2">
      <c r="A13" s="11" t="s">
        <v>17</v>
      </c>
      <c r="B13" s="11"/>
      <c r="C13" s="13" t="s">
        <v>12</v>
      </c>
    </row>
    <row r="14" spans="1:12" x14ac:dyDescent="0.2">
      <c r="A14" s="11"/>
      <c r="B14" s="11"/>
      <c r="C14" s="11"/>
    </row>
    <row r="15" spans="1:12" x14ac:dyDescent="0.2">
      <c r="A15" s="14" t="s">
        <v>16</v>
      </c>
      <c r="B15" s="11"/>
      <c r="C15" s="15">
        <f ca="1">(C7+C11)+(C8+C12)*INT(MAX(F21:F3533))</f>
        <v>56976.606342668099</v>
      </c>
      <c r="E15" s="16" t="s">
        <v>45</v>
      </c>
      <c r="F15" s="37">
        <v>1</v>
      </c>
    </row>
    <row r="16" spans="1:12" x14ac:dyDescent="0.2">
      <c r="A16" s="18" t="s">
        <v>3</v>
      </c>
      <c r="B16" s="11"/>
      <c r="C16" s="19">
        <f ca="1">+C8+C12</f>
        <v>0.40661466380876965</v>
      </c>
      <c r="E16" s="16" t="s">
        <v>29</v>
      </c>
      <c r="F16" s="38">
        <f ca="1">NOW()+15018.5+$C$5/24</f>
        <v>60326.721698726848</v>
      </c>
    </row>
    <row r="17" spans="1:18" ht="13.5" thickBot="1" x14ac:dyDescent="0.25">
      <c r="A17" s="16" t="s">
        <v>26</v>
      </c>
      <c r="B17" s="11"/>
      <c r="C17" s="11">
        <f>COUNT(C21:C2191)</f>
        <v>2</v>
      </c>
      <c r="E17" s="16" t="s">
        <v>46</v>
      </c>
      <c r="F17" s="17">
        <f ca="1">ROUND(2*(F16-$C$7)/$C$8,0)/2+F15</f>
        <v>18970</v>
      </c>
    </row>
    <row r="18" spans="1:18" ht="14.25" thickTop="1" thickBot="1" x14ac:dyDescent="0.25">
      <c r="A18" s="18" t="s">
        <v>4</v>
      </c>
      <c r="B18" s="11"/>
      <c r="C18" s="21">
        <f ca="1">+C15</f>
        <v>56976.606342668099</v>
      </c>
      <c r="D18" s="22">
        <f ca="1">+C16</f>
        <v>0.40661466380876965</v>
      </c>
      <c r="E18" s="16" t="s">
        <v>30</v>
      </c>
      <c r="F18" s="25">
        <f ca="1">ROUND(2*(F16-$C$15)/$C$16,0)/2+F15</f>
        <v>8240</v>
      </c>
    </row>
    <row r="19" spans="1:18" ht="13.5" thickTop="1" x14ac:dyDescent="0.2">
      <c r="E19" s="16" t="s">
        <v>31</v>
      </c>
      <c r="F19" s="20">
        <f ca="1">+$C$15+$C$16*F18-15018.5-$C$5/24</f>
        <v>45309.007005785694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41</v>
      </c>
      <c r="I20" s="6" t="s">
        <v>42</v>
      </c>
      <c r="J20" s="6" t="s">
        <v>43</v>
      </c>
      <c r="K20" s="6" t="s">
        <v>44</v>
      </c>
      <c r="L20" s="6" t="s">
        <v>23</v>
      </c>
      <c r="M20" s="6" t="s">
        <v>24</v>
      </c>
      <c r="N20" s="6" t="s">
        <v>25</v>
      </c>
      <c r="O20" s="6" t="s">
        <v>21</v>
      </c>
      <c r="P20" s="5" t="s">
        <v>20</v>
      </c>
      <c r="Q20" s="3" t="s">
        <v>13</v>
      </c>
    </row>
    <row r="21" spans="1:18" x14ac:dyDescent="0.2">
      <c r="A21" t="str">
        <f>$K$1</f>
        <v>IBVS 5495</v>
      </c>
      <c r="C21" s="9">
        <f>+$C$4</f>
        <v>52613.631000000001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37595.131000000001</v>
      </c>
      <c r="R21" t="s">
        <v>47</v>
      </c>
    </row>
    <row r="22" spans="1:18" x14ac:dyDescent="0.2">
      <c r="A22" s="34" t="s">
        <v>38</v>
      </c>
      <c r="B22" s="35" t="s">
        <v>39</v>
      </c>
      <c r="C22" s="36">
        <v>56976.809650000003</v>
      </c>
      <c r="D22" s="36">
        <v>1E-4</v>
      </c>
      <c r="E22">
        <f>+(C22-C$7)/C$8</f>
        <v>10730.51751784248</v>
      </c>
      <c r="F22">
        <f>ROUND(2*E22,0)/2</f>
        <v>10730.5</v>
      </c>
      <c r="G22">
        <f>+C22-(C$7+F22*C$8)</f>
        <v>7.1230000030482188E-3</v>
      </c>
      <c r="K22">
        <f>+G22</f>
        <v>7.1230000030482188E-3</v>
      </c>
      <c r="O22">
        <f ca="1">+C$11+C$12*$F22</f>
        <v>7.1230000030482188E-3</v>
      </c>
      <c r="Q22" s="2">
        <f>+C22-15018.5</f>
        <v>41958.309650000003</v>
      </c>
      <c r="R22" t="s">
        <v>44</v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2024-01-17T04:19:14Z</dcterms:modified>
</cp:coreProperties>
</file>