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584CFDB9-46CE-4676-A268-D4E4D77DA85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E28" i="1"/>
  <c r="F28" i="1" s="1"/>
  <c r="G28" i="1" s="1"/>
  <c r="K28" i="1" s="1"/>
  <c r="Q28" i="1"/>
  <c r="D9" i="1"/>
  <c r="C9" i="1"/>
  <c r="Q27" i="1"/>
  <c r="E21" i="1"/>
  <c r="F21" i="1"/>
  <c r="Q26" i="1"/>
  <c r="Q25" i="1"/>
  <c r="C17" i="1"/>
  <c r="Q22" i="1"/>
  <c r="Q21" i="1"/>
  <c r="Q24" i="1"/>
  <c r="C7" i="1"/>
  <c r="E27" i="1"/>
  <c r="F27" i="1"/>
  <c r="C8" i="1"/>
  <c r="E24" i="1"/>
  <c r="F24" i="1"/>
  <c r="Q23" i="1"/>
  <c r="G22" i="1"/>
  <c r="J22" i="1"/>
  <c r="G25" i="1"/>
  <c r="I25" i="1"/>
  <c r="E26" i="1"/>
  <c r="F26" i="1"/>
  <c r="G26" i="1"/>
  <c r="I26" i="1"/>
  <c r="G27" i="1"/>
  <c r="K27" i="1"/>
  <c r="E22" i="1"/>
  <c r="F22" i="1"/>
  <c r="E25" i="1"/>
  <c r="F25" i="1"/>
  <c r="G21" i="1"/>
  <c r="J21" i="1"/>
  <c r="G24" i="1"/>
  <c r="I24" i="1"/>
  <c r="E23" i="1"/>
  <c r="F23" i="1"/>
  <c r="C11" i="1"/>
  <c r="C12" i="1"/>
  <c r="F15" i="1" l="1"/>
  <c r="O28" i="1"/>
  <c r="C16" i="1"/>
  <c r="D18" i="1" s="1"/>
  <c r="C15" i="1"/>
  <c r="O24" i="1"/>
  <c r="O23" i="1"/>
  <c r="O25" i="1"/>
  <c r="O21" i="1"/>
  <c r="O27" i="1"/>
  <c r="O26" i="1"/>
  <c r="O22" i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<sst xmlns="http://schemas.openxmlformats.org/spreadsheetml/2006/main" count="69" uniqueCount="58">
  <si>
    <t>PE</t>
  </si>
  <si>
    <t>CCD</t>
  </si>
  <si>
    <t>pg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</si>
  <si>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</si>
  <si>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</si>
  <si>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</si>
  <si>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</si>
  <si>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</si>
  <si>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</si>
  <si>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</si>
  <si>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</si>
  <si>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</si>
  <si>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</si>
  <si>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</si>
  <si>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</si>
  <si>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</si>
  <si>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</si>
  <si>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</si>
  <si>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</si>
  <si>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</si>
  <si>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</si>
  <si>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</si>
  <si>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</si>
  <si>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</si>
  <si>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</si>
  <si>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</si>
  <si>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</si>
  <si>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</si>
  <si>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</si>
  <si>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</si>
  <si>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</si>
  <si>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</si>
  <si>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</si>
  <si>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</si>
  <si>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</si>
  <si>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</si>
  <si>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</si>
  <si>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FU Ara / GSC 8741-0001</t>
  </si>
  <si>
    <t>EB:</t>
  </si>
  <si>
    <t>OEJV 0073</t>
  </si>
  <si>
    <t>I</t>
  </si>
  <si>
    <t>Cillie 1960</t>
  </si>
  <si>
    <t>1960MNRAS.121..333C</t>
  </si>
  <si>
    <t>Add cycle</t>
  </si>
  <si>
    <t>Old Cycle</t>
  </si>
  <si>
    <t>OEJV 0130</t>
  </si>
  <si>
    <t>OEJV 0155</t>
  </si>
  <si>
    <t>0,0020</t>
  </si>
  <si>
    <t>vis</t>
  </si>
  <si>
    <t>OEJV 0179</t>
  </si>
  <si>
    <t>vis (CCD??)</t>
  </si>
  <si>
    <t>MGB</t>
  </si>
  <si>
    <t xml:space="preserve">Mag </t>
  </si>
  <si>
    <t>Next ToM-P</t>
  </si>
  <si>
    <t>Next ToM-S</t>
  </si>
  <si>
    <t>VSX</t>
  </si>
  <si>
    <t>10.30-10.85</t>
  </si>
  <si>
    <t>VSS SEB Gp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</si>
</sst>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3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  <font>
      <sz val="11"/>
      <color rgb="FF00B050"/>
      <name val="Calibri"/>
      <family val="2"/>
      <scheme val="minor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  <font>
      <sz val="9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7">
    <xf numFmtId="0" fontId="0" fillId="0" borderId="0">
      <alignment vertical="top"/>
    </xf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5" borderId="0" applyNumberFormat="0" applyBorder="0" applyAlignment="0" applyProtection="0"/>
    <xf numFmtId="0" fontId="16" fillId="8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9" borderId="0" applyNumberFormat="0" applyBorder="0" applyAlignment="0" applyProtection="0"/>
    <xf numFmtId="0" fontId="18" fillId="3" borderId="0" applyNumberFormat="0" applyBorder="0" applyAlignment="0" applyProtection="0"/>
    <xf numFmtId="0" fontId="19" fillId="20" borderId="1" applyNumberFormat="0" applyAlignment="0" applyProtection="0"/>
    <xf numFmtId="0" fontId="20" fillId="21" borderId="2" applyNumberFormat="0" applyAlignment="0" applyProtection="0"/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5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1" fillId="0" borderId="0"/>
    <xf numFmtId="0" fontId="21" fillId="23" borderId="5" applyNumberFormat="0" applyFont="0" applyAlignment="0" applyProtection="0"/>
    <xf numFmtId="0" fontId="28" fillId="20" borderId="6" applyNumberFormat="0" applyAlignment="0" applyProtection="0"/>
    <xf numFmtId="0" fontId="29" fillId="0" borderId="0" applyNumberFormat="0" applyFill="0" applyBorder="0" applyAlignment="0" applyProtection="0"/>
    <xf numFmtId="0" fontId="5" fillId="0" borderId="7" applyNumberFormat="0" applyFont="0" applyFill="0" applyAlignment="0" applyProtection="0"/>
    <xf numFmtId="0" fontId="30" fillId="0" borderId="0" applyNumberFormat="0" applyFill="0" applyBorder="0" applyAlignment="0" applyProtection="0"/>
  </cellStyleXfs>
  <cellXfs count="5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6" fillId="0" borderId="0" xfId="0" applyFont="1" applyAlignment="1"/>
    <xf numFmtId="0" fontId="6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0" borderId="0" xfId="0" applyFont="1" applyAlignment="1"/>
    <xf numFmtId="0" fontId="14" fillId="0" borderId="0" xfId="0" applyFont="1" applyAlignment="1">
      <alignment horizontal="left"/>
    </xf>
    <xf numFmtId="0" fontId="14" fillId="0" borderId="0" xfId="0" applyFont="1">
      <alignment vertical="top"/>
    </xf>
    <xf numFmtId="0" fontId="15" fillId="0" borderId="0" xfId="0" applyFont="1">
      <alignment vertical="top"/>
    </xf>
    <xf numFmtId="0" fontId="15" fillId="0" borderId="0" xfId="0" applyFont="1" applyAlignment="1">
      <alignment horizontal="left"/>
    </xf>
    <xf numFmtId="0" fontId="31" fillId="0" borderId="0" xfId="41" applyFont="1"/>
    <xf numFmtId="0" fontId="31" fillId="0" borderId="0" xfId="41" applyFont="1" applyAlignment="1">
      <alignment horizontal="left"/>
    </xf>
    <xf numFmtId="0" fontId="32" fillId="0" borderId="0" xfId="0" applyFont="1" applyAlignment="1"/>
    <xf numFmtId="0" fontId="15" fillId="0" borderId="0" xfId="0" applyFont="1" applyAlignment="1">
      <alignment horizontal="left" vertical="top"/>
    </xf>
    <xf numFmtId="0" fontId="33" fillId="0" borderId="0" xfId="0" applyFont="1" applyAlignment="1">
      <alignment horizontal="left"/>
    </xf>
    <xf numFmtId="0" fontId="5" fillId="0" borderId="0" xfId="0" applyFont="1" applyAlignment="1"/>
    <xf numFmtId="0" fontId="5" fillId="24" borderId="11" xfId="0" applyFont="1" applyFill="1" applyBorder="1" applyAlignment="1">
      <alignment horizontal="right" vertical="center"/>
    </xf>
    <xf numFmtId="0" fontId="5" fillId="24" borderId="12" xfId="0" applyFont="1" applyFill="1" applyBorder="1" applyAlignment="1">
      <alignment horizontal="center" vertical="center"/>
    </xf>
    <xf numFmtId="0" fontId="34" fillId="0" borderId="13" xfId="0" applyFont="1" applyBorder="1" applyAlignment="1">
      <alignment horizontal="right" vertical="center"/>
    </xf>
    <xf numFmtId="0" fontId="36" fillId="0" borderId="14" xfId="0" applyFont="1" applyBorder="1" applyAlignment="1">
      <alignment horizontal="right" vertical="center"/>
    </xf>
    <xf numFmtId="0" fontId="35" fillId="0" borderId="14" xfId="0" applyFont="1" applyBorder="1" applyAlignment="1">
      <alignment horizontal="right" vertical="center"/>
    </xf>
    <xf numFmtId="22" fontId="35" fillId="0" borderId="14" xfId="0" applyNumberFormat="1" applyFont="1" applyBorder="1" applyAlignment="1">
      <alignment horizontal="right" vertical="center"/>
    </xf>
    <xf numFmtId="22" fontId="35" fillId="0" borderId="15" xfId="0" applyNumberFormat="1" applyFont="1" applyBorder="1" applyAlignment="1">
      <alignment horizontal="right" vertical="center"/>
    </xf>
    <xf numFmtId="0" fontId="34" fillId="0" borderId="16" xfId="0" applyFont="1" applyBorder="1" applyAlignment="1">
      <alignment horizontal="right" vertical="center"/>
    </xf>
    <xf numFmtId="0" fontId="37" fillId="0" borderId="0" xfId="0" applyFont="1" applyAlignment="1"/>
    <xf numFmtId="0" fontId="5" fillId="0" borderId="0" xfId="0" applyFont="1" applyBorder="1" applyAlignment="1"/>
    <xf numFmtId="0" fontId="0" fillId="0" borderId="0" xfId="0" applyBorder="1" applyAlignment="1"/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31" fillId="0" borderId="0" xfId="41" applyFont="1" applyAlignment="1">
      <alignment horizontal="center" vertical="center"/>
    </xf>
    <xf numFmtId="0" fontId="33" fillId="0" borderId="0" xfId="0" applyFont="1" applyAlignment="1">
      <alignment horizontal="center" vertical="center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_1" xfId="41" xr:uid="{00000000-0005-0000-0000-000029000000}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FU Ara - O-C Diagr.</a:t>
            </a:r>
          </a:p>
        </c:rich>
      </c:tx>
      <c:layout>
        <c:manualLayout>
          <c:xMode val="edge"/>
          <c:yMode val="edge"/>
          <c:x val="0.3894736842105263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9398496240601504"/>
          <c:y val="0.14035127795846455"/>
          <c:w val="0.76390977443609021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5B-4464-9056-3665AF50EC0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2">
                  <c:v>0</c:v>
                </c:pt>
                <c:pt idx="3">
                  <c:v>5.2600000199163333E-3</c:v>
                </c:pt>
                <c:pt idx="4">
                  <c:v>6.6999999398831278E-4</c:v>
                </c:pt>
                <c:pt idx="5">
                  <c:v>-1.0000000038417056E-3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5B-4464-9056-3665AF50EC0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0">
                  <c:v>0.1105600000009872</c:v>
                </c:pt>
                <c:pt idx="1">
                  <c:v>0.11336999999912223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B5B-4464-9056-3665AF50EC0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6">
                  <c:v>1.720000000204891E-3</c:v>
                </c:pt>
                <c:pt idx="7">
                  <c:v>-1.7059997917385772E-3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B5B-4464-9056-3665AF50EC0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B5B-4464-9056-3665AF50EC0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B5B-4464-9056-3665AF50EC0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B5B-4464-9056-3665AF50EC0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1.8620112828456121E-2</c:v>
                </c:pt>
                <c:pt idx="1">
                  <c:v>1.8614301489183967E-2</c:v>
                </c:pt>
                <c:pt idx="2">
                  <c:v>4.9845316437568295E-3</c:v>
                </c:pt>
                <c:pt idx="3">
                  <c:v>3.0420914920395044E-3</c:v>
                </c:pt>
                <c:pt idx="4">
                  <c:v>2.0912111036333796E-3</c:v>
                </c:pt>
                <c:pt idx="5">
                  <c:v>1.4977280804646981E-3</c:v>
                </c:pt>
                <c:pt idx="6">
                  <c:v>1.9526166609328335E-4</c:v>
                </c:pt>
                <c:pt idx="7">
                  <c:v>-1.8822921237016121E-3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B5B-4464-9056-3665AF50E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9609144"/>
        <c:axId val="1"/>
      </c:scatterChart>
      <c:valAx>
        <c:axId val="559609144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5639097744360899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0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596091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721804511278193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FU Ara - O-C Diagr.</a:t>
            </a:r>
          </a:p>
        </c:rich>
      </c:tx>
      <c:layout>
        <c:manualLayout>
          <c:xMode val="edge"/>
          <c:yMode val="edge"/>
          <c:x val="0.38888951944070049"/>
          <c:y val="3.498542274052478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3994189017784567"/>
          <c:w val="0.81681801452528879"/>
          <c:h val="0.64723124207253624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FE5-4262-8AF4-8DCA004525C5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2">
                  <c:v>0</c:v>
                </c:pt>
                <c:pt idx="3">
                  <c:v>5.2600000199163333E-3</c:v>
                </c:pt>
                <c:pt idx="4">
                  <c:v>6.6999999398831278E-4</c:v>
                </c:pt>
                <c:pt idx="5">
                  <c:v>-1.0000000038417056E-3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FE5-4262-8AF4-8DCA004525C5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0">
                  <c:v>0.1105600000009872</c:v>
                </c:pt>
                <c:pt idx="1">
                  <c:v>0.11336999999912223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FE5-4262-8AF4-8DCA004525C5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6">
                  <c:v>1.720000000204891E-3</c:v>
                </c:pt>
                <c:pt idx="7">
                  <c:v>-1.7059997917385772E-3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FE5-4262-8AF4-8DCA004525C5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FE5-4262-8AF4-8DCA004525C5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FE5-4262-8AF4-8DCA004525C5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2">
                    <c:v>0</c:v>
                  </c:pt>
                  <c:pt idx="3">
                    <c:v>4.0000000000000001E-3</c:v>
                  </c:pt>
                  <c:pt idx="4">
                    <c:v>2E-3</c:v>
                  </c:pt>
                  <c:pt idx="5">
                    <c:v>0</c:v>
                  </c:pt>
                  <c:pt idx="6">
                    <c:v>1E-4</c:v>
                  </c:pt>
                  <c:pt idx="7">
                    <c:v>8.4999999999999995E-4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FE5-4262-8AF4-8DCA004525C5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-18771</c:v>
                </c:pt>
                <c:pt idx="1">
                  <c:v>-18763</c:v>
                </c:pt>
                <c:pt idx="2">
                  <c:v>0</c:v>
                </c:pt>
                <c:pt idx="3">
                  <c:v>2674</c:v>
                </c:pt>
                <c:pt idx="4">
                  <c:v>3983</c:v>
                </c:pt>
                <c:pt idx="5">
                  <c:v>4800</c:v>
                </c:pt>
                <c:pt idx="6">
                  <c:v>6593</c:v>
                </c:pt>
                <c:pt idx="7">
                  <c:v>9453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1.8620112828456121E-2</c:v>
                </c:pt>
                <c:pt idx="1">
                  <c:v>1.8614301489183967E-2</c:v>
                </c:pt>
                <c:pt idx="2">
                  <c:v>4.9845316437568295E-3</c:v>
                </c:pt>
                <c:pt idx="3">
                  <c:v>3.0420914920395044E-3</c:v>
                </c:pt>
                <c:pt idx="4">
                  <c:v>2.0912111036333796E-3</c:v>
                </c:pt>
                <c:pt idx="5">
                  <c:v>1.4977280804646981E-3</c:v>
                </c:pt>
                <c:pt idx="6">
                  <c:v>1.9526166609328335E-4</c:v>
                </c:pt>
                <c:pt idx="7">
                  <c:v>-1.8822921237016121E-3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FE5-4262-8AF4-8DCA004525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59603024"/>
        <c:axId val="1"/>
      </c:scatterChart>
      <c:valAx>
        <c:axId val="5596030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52331071228708"/>
              <c:y val="0.842566822004392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60939066290182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596030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525557053116105"/>
          <c:y val="0.92419947506561673"/>
          <c:w val="0.62762857345534506"/>
          <c:h val="5.830903790087460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19050</xdr:colOff>
      <xdr:row>0</xdr:row>
      <xdr:rowOff>0</xdr:rowOff>
    </xdr:from>
    <xdr:to>
      <xdr:col>17</xdr:col>
      <xdr:colOff>104775</xdr:colOff>
      <xdr:row>18</xdr:row>
      <xdr:rowOff>57150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AD753BF9-F89D-BE65-57EB-5F3B33C9CA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0</xdr:colOff>
      <xdr:row>0</xdr:row>
      <xdr:rowOff>1</xdr:rowOff>
    </xdr:from>
    <xdr:to>
      <xdr:col>27</xdr:col>
      <xdr:colOff>171450</xdr:colOff>
      <xdr:row>18</xdr:row>
      <xdr:rowOff>38101</xdr:rowOff>
    </xdr:to>
    <xdr:graphicFrame macro="">
      <xdr:nvGraphicFramePr>
        <xdr:cNvPr id="1028" name="Chart 2">
          <a:extLst>
            <a:ext uri="{FF2B5EF4-FFF2-40B4-BE49-F238E27FC236}">
              <a16:creationId xmlns:a16="http://schemas.microsoft.com/office/drawing/2014/main" id="{7FA8193E-07FE-3E63-60AD-8CCAEF6296D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8" sqref="F8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3" customWidth="1"/>
    <col min="4" max="4" width="9.42578125" customWidth="1"/>
    <col min="5" max="5" width="11.570312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21" max="21" width="11.42578125" customWidth="1"/>
  </cols>
  <sheetData>
    <row r="1" spans="1:6" ht="20.25" x14ac:dyDescent="0.3">
      <c r="A1" s="1" t="s">
        <v>37</v>
      </c>
    </row>
    <row r="2" spans="1:6" x14ac:dyDescent="0.2">
      <c r="A2" t="s">
        <v>27</v>
      </c>
      <c r="B2" t="s">
        <v>38</v>
      </c>
      <c r="C2" s="3"/>
      <c r="D2" s="3"/>
    </row>
    <row r="3" spans="1:6" ht="13.5" thickBot="1" x14ac:dyDescent="0.25"/>
    <row r="4" spans="1:6" ht="14.25" thickTop="1" thickBot="1" x14ac:dyDescent="0.25">
      <c r="A4" s="5" t="s">
        <v>3</v>
      </c>
      <c r="C4" s="8">
        <v>51940.94</v>
      </c>
      <c r="D4" s="9">
        <v>0.86451</v>
      </c>
    </row>
    <row r="5" spans="1:6" ht="13.5" thickTop="1" x14ac:dyDescent="0.2">
      <c r="A5" s="11" t="s">
        <v>32</v>
      </c>
      <c r="B5" s="12"/>
      <c r="C5" s="13">
        <v>-9.5</v>
      </c>
      <c r="D5" s="12" t="s">
        <v>33</v>
      </c>
    </row>
    <row r="6" spans="1:6" x14ac:dyDescent="0.2">
      <c r="A6" s="5" t="s">
        <v>4</v>
      </c>
    </row>
    <row r="7" spans="1:6" x14ac:dyDescent="0.2">
      <c r="A7" t="s">
        <v>5</v>
      </c>
      <c r="C7">
        <f>+C4</f>
        <v>51940.94</v>
      </c>
      <c r="D7" s="37" t="s">
        <v>55</v>
      </c>
      <c r="F7" s="47"/>
    </row>
    <row r="8" spans="1:6" x14ac:dyDescent="0.2">
      <c r="A8" t="s">
        <v>6</v>
      </c>
      <c r="C8">
        <f>+D4</f>
        <v>0.86451</v>
      </c>
      <c r="D8" s="37" t="s">
        <v>55</v>
      </c>
      <c r="F8" s="47"/>
    </row>
    <row r="9" spans="1:6" x14ac:dyDescent="0.2">
      <c r="A9" s="25" t="s">
        <v>36</v>
      </c>
      <c r="B9" s="26">
        <v>23</v>
      </c>
      <c r="C9" s="23" t="str">
        <f>"F"&amp;B9</f>
        <v>F23</v>
      </c>
      <c r="D9" s="24" t="str">
        <f>"G"&amp;B9</f>
        <v>G23</v>
      </c>
      <c r="F9" s="48"/>
    </row>
    <row r="10" spans="1:6" ht="13.5" thickBot="1" x14ac:dyDescent="0.25">
      <c r="A10" s="12"/>
      <c r="B10" s="12"/>
      <c r="C10" s="4" t="s">
        <v>23</v>
      </c>
      <c r="D10" s="4" t="s">
        <v>24</v>
      </c>
      <c r="E10" s="12"/>
      <c r="F10" s="48"/>
    </row>
    <row r="11" spans="1:6" x14ac:dyDescent="0.2">
      <c r="A11" s="12" t="s">
        <v>19</v>
      </c>
      <c r="B11" s="12"/>
      <c r="C11" s="22">
        <f ca="1">INTERCEPT(INDIRECT($D$9):G992,INDIRECT($C$9):F992)</f>
        <v>4.9845316437568295E-3</v>
      </c>
      <c r="D11" s="3"/>
      <c r="E11" s="12"/>
    </row>
    <row r="12" spans="1:6" x14ac:dyDescent="0.2">
      <c r="A12" s="12" t="s">
        <v>20</v>
      </c>
      <c r="B12" s="12"/>
      <c r="C12" s="22">
        <f ca="1">SLOPE(INDIRECT($D$9):G992,INDIRECT($C$9):F992)</f>
        <v>-7.2641740901919407E-7</v>
      </c>
      <c r="D12" s="3"/>
      <c r="E12" s="38" t="s">
        <v>52</v>
      </c>
      <c r="F12" s="39" t="s">
        <v>56</v>
      </c>
    </row>
    <row r="13" spans="1:6" x14ac:dyDescent="0.2">
      <c r="A13" s="12" t="s">
        <v>22</v>
      </c>
      <c r="B13" s="12"/>
      <c r="C13" s="3" t="s">
        <v>17</v>
      </c>
      <c r="E13" s="40" t="s">
        <v>43</v>
      </c>
      <c r="F13" s="41">
        <v>1</v>
      </c>
    </row>
    <row r="14" spans="1:6" x14ac:dyDescent="0.2">
      <c r="A14" s="12"/>
      <c r="B14" s="12"/>
      <c r="C14" s="12"/>
      <c r="E14" s="40" t="s">
        <v>34</v>
      </c>
      <c r="F14" s="42">
        <f ca="1">NOW()+15018.5+$C$5/24</f>
        <v>60514.74984675926</v>
      </c>
    </row>
    <row r="15" spans="1:6" x14ac:dyDescent="0.2">
      <c r="A15" s="14" t="s">
        <v>21</v>
      </c>
      <c r="B15" s="12"/>
      <c r="C15" s="15">
        <f ca="1">(C7+C11)+(C8+C12)*INT(MAX(F21:F3533))</f>
        <v>60113.151147707882</v>
      </c>
      <c r="E15" s="40" t="s">
        <v>44</v>
      </c>
      <c r="F15" s="42">
        <f ca="1">ROUND(2*($F$14-$C$7)/$C$8,0)/2+$F$13</f>
        <v>9918.5</v>
      </c>
    </row>
    <row r="16" spans="1:6" x14ac:dyDescent="0.2">
      <c r="A16" s="17" t="s">
        <v>7</v>
      </c>
      <c r="B16" s="12"/>
      <c r="C16" s="18">
        <f ca="1">+C8+C12</f>
        <v>0.864509273582591</v>
      </c>
      <c r="E16" s="40" t="s">
        <v>35</v>
      </c>
      <c r="F16" s="42">
        <f ca="1">ROUND(2*($F$14-$C$15)/$C$16,0)/2+$F$13</f>
        <v>465.5</v>
      </c>
    </row>
    <row r="17" spans="1:21" ht="13.5" thickBot="1" x14ac:dyDescent="0.25">
      <c r="A17" s="16" t="s">
        <v>31</v>
      </c>
      <c r="B17" s="12"/>
      <c r="C17" s="12">
        <f>COUNT(C21:C2191)</f>
        <v>8</v>
      </c>
      <c r="E17" s="40" t="s">
        <v>53</v>
      </c>
      <c r="F17" s="43">
        <f ca="1">+$C$15+$C$16*$F$16-15018.5-$C$5/24</f>
        <v>45497.476047893913</v>
      </c>
    </row>
    <row r="18" spans="1:21" ht="14.25" thickTop="1" thickBot="1" x14ac:dyDescent="0.25">
      <c r="A18" s="17" t="s">
        <v>8</v>
      </c>
      <c r="B18" s="12"/>
      <c r="C18" s="20">
        <f ca="1">+C15</f>
        <v>60113.151147707882</v>
      </c>
      <c r="D18" s="21">
        <f ca="1">+C16</f>
        <v>0.864509273582591</v>
      </c>
      <c r="E18" s="45" t="s">
        <v>54</v>
      </c>
      <c r="F18" s="44">
        <f ca="1">+($C$15+$C$16*$F$16)-($C$16/2)-15018.5-$C$5/24</f>
        <v>45497.043793257122</v>
      </c>
    </row>
    <row r="19" spans="1:21" ht="13.5" thickTop="1" x14ac:dyDescent="0.2">
      <c r="B19" s="49"/>
      <c r="E19" s="16"/>
      <c r="F19" s="19"/>
    </row>
    <row r="20" spans="1:21" ht="12" customHeight="1" thickBot="1" x14ac:dyDescent="0.25">
      <c r="A20" s="4" t="s">
        <v>9</v>
      </c>
      <c r="B20" s="50" t="s">
        <v>10</v>
      </c>
      <c r="C20" s="4" t="s">
        <v>11</v>
      </c>
      <c r="D20" s="4" t="s">
        <v>16</v>
      </c>
      <c r="E20" s="4" t="s">
        <v>12</v>
      </c>
      <c r="F20" s="4" t="s">
        <v>13</v>
      </c>
      <c r="G20" s="4" t="s">
        <v>14</v>
      </c>
      <c r="H20" s="7" t="s">
        <v>2</v>
      </c>
      <c r="I20" s="7" t="s">
        <v>48</v>
      </c>
      <c r="J20" s="7" t="s">
        <v>0</v>
      </c>
      <c r="K20" s="7" t="s">
        <v>1</v>
      </c>
      <c r="L20" s="7" t="s">
        <v>28</v>
      </c>
      <c r="M20" s="7" t="s">
        <v>29</v>
      </c>
      <c r="N20" s="7" t="s">
        <v>30</v>
      </c>
      <c r="O20" s="7" t="s">
        <v>26</v>
      </c>
      <c r="P20" s="6" t="s">
        <v>25</v>
      </c>
      <c r="Q20" s="4" t="s">
        <v>18</v>
      </c>
    </row>
    <row r="21" spans="1:21" ht="12" customHeight="1" x14ac:dyDescent="0.2">
      <c r="A21" t="s">
        <v>41</v>
      </c>
      <c r="B21" s="49"/>
      <c r="C21" s="10">
        <v>35713.333350000001</v>
      </c>
      <c r="D21" s="10"/>
      <c r="E21">
        <f t="shared" ref="E21:E27" si="0">+(C21-C$7)/C$8</f>
        <v>-18770.872112526173</v>
      </c>
      <c r="F21">
        <f t="shared" ref="F21:F27" si="1">ROUND(2*E21,0)/2</f>
        <v>-18771</v>
      </c>
      <c r="G21">
        <f>+C21-(C$7+F21*C$8)</f>
        <v>0.1105600000009872</v>
      </c>
      <c r="J21">
        <f>+G21</f>
        <v>0.1105600000009872</v>
      </c>
      <c r="O21">
        <f t="shared" ref="O21:O27" ca="1" si="2">+C$11+C$12*$F21</f>
        <v>1.8620112828456121E-2</v>
      </c>
      <c r="Q21" s="2">
        <f t="shared" ref="Q21:Q27" si="3">+C21-15018.5</f>
        <v>20694.833350000001</v>
      </c>
      <c r="U21" s="46" t="s">
        <v>42</v>
      </c>
    </row>
    <row r="22" spans="1:21" ht="12" customHeight="1" x14ac:dyDescent="0.2">
      <c r="A22" t="s">
        <v>41</v>
      </c>
      <c r="B22" s="49"/>
      <c r="C22" s="10">
        <v>35720.252240000002</v>
      </c>
      <c r="D22" s="10"/>
      <c r="E22">
        <f t="shared" si="0"/>
        <v>-18762.868862129995</v>
      </c>
      <c r="F22">
        <f t="shared" si="1"/>
        <v>-18763</v>
      </c>
      <c r="G22">
        <f>+C22-(C$7+F22*C$8)</f>
        <v>0.11336999999912223</v>
      </c>
      <c r="J22">
        <f>+G22</f>
        <v>0.11336999999912223</v>
      </c>
      <c r="O22">
        <f t="shared" ca="1" si="2"/>
        <v>1.8614301489183967E-2</v>
      </c>
      <c r="Q22" s="2">
        <f t="shared" si="3"/>
        <v>20701.752240000002</v>
      </c>
      <c r="U22" s="46" t="s">
        <v>42</v>
      </c>
    </row>
    <row r="23" spans="1:21" ht="12" customHeight="1" x14ac:dyDescent="0.2">
      <c r="A23" s="27" t="s">
        <v>15</v>
      </c>
      <c r="B23" s="51"/>
      <c r="C23" s="28">
        <v>51940.94</v>
      </c>
      <c r="D23" s="28" t="s">
        <v>17</v>
      </c>
      <c r="E23">
        <f t="shared" si="0"/>
        <v>0</v>
      </c>
      <c r="F23">
        <f t="shared" si="1"/>
        <v>0</v>
      </c>
      <c r="I23">
        <v>0</v>
      </c>
      <c r="O23">
        <f t="shared" ca="1" si="2"/>
        <v>4.9845316437568295E-3</v>
      </c>
      <c r="Q23" s="2">
        <f t="shared" si="3"/>
        <v>36922.44</v>
      </c>
      <c r="U23" s="46"/>
    </row>
    <row r="24" spans="1:21" ht="12" customHeight="1" x14ac:dyDescent="0.2">
      <c r="A24" s="28" t="s">
        <v>39</v>
      </c>
      <c r="B24" s="51" t="s">
        <v>40</v>
      </c>
      <c r="C24" s="28">
        <v>54252.645000000019</v>
      </c>
      <c r="D24" s="28">
        <v>4.0000000000000001E-3</v>
      </c>
      <c r="E24">
        <f t="shared" si="0"/>
        <v>2674.0060843715123</v>
      </c>
      <c r="F24">
        <f t="shared" si="1"/>
        <v>2674</v>
      </c>
      <c r="G24">
        <f>+C24-(C$7+F24*C$8)</f>
        <v>5.2600000199163333E-3</v>
      </c>
      <c r="I24">
        <f>+G24</f>
        <v>5.2600000199163333E-3</v>
      </c>
      <c r="O24">
        <f t="shared" ca="1" si="2"/>
        <v>3.0420914920395044E-3</v>
      </c>
      <c r="Q24" s="2">
        <f t="shared" si="3"/>
        <v>39234.145000000019</v>
      </c>
      <c r="R24" t="s">
        <v>50</v>
      </c>
      <c r="U24" s="46"/>
    </row>
    <row r="25" spans="1:21" ht="12" customHeight="1" x14ac:dyDescent="0.2">
      <c r="A25" s="29" t="s">
        <v>45</v>
      </c>
      <c r="B25" s="51" t="s">
        <v>40</v>
      </c>
      <c r="C25" s="28">
        <v>55384.284</v>
      </c>
      <c r="D25" s="28">
        <v>2E-3</v>
      </c>
      <c r="E25">
        <f t="shared" si="0"/>
        <v>3983.0007750054915</v>
      </c>
      <c r="F25">
        <f t="shared" si="1"/>
        <v>3983</v>
      </c>
      <c r="G25">
        <f>+C25-(C$7+F25*C$8)</f>
        <v>6.6999999398831278E-4</v>
      </c>
      <c r="I25">
        <f>+G25</f>
        <v>6.6999999398831278E-4</v>
      </c>
      <c r="O25">
        <f t="shared" ca="1" si="2"/>
        <v>2.0912111036333796E-3</v>
      </c>
      <c r="Q25" s="2">
        <f t="shared" si="3"/>
        <v>40365.784</v>
      </c>
      <c r="R25" t="s">
        <v>50</v>
      </c>
      <c r="U25" s="46"/>
    </row>
    <row r="26" spans="1:21" ht="12" customHeight="1" x14ac:dyDescent="0.2">
      <c r="A26" s="30" t="s">
        <v>46</v>
      </c>
      <c r="B26" s="52" t="s">
        <v>40</v>
      </c>
      <c r="C26" s="31">
        <v>56090.587</v>
      </c>
      <c r="D26" s="35" t="s">
        <v>47</v>
      </c>
      <c r="E26">
        <f t="shared" si="0"/>
        <v>4799.998843275378</v>
      </c>
      <c r="F26">
        <f t="shared" si="1"/>
        <v>4800</v>
      </c>
      <c r="G26">
        <f>+C26-(C$7+F26*C$8)</f>
        <v>-1.0000000038417056E-3</v>
      </c>
      <c r="I26">
        <f>+G26</f>
        <v>-1.0000000038417056E-3</v>
      </c>
      <c r="O26">
        <f t="shared" ca="1" si="2"/>
        <v>1.4977280804646981E-3</v>
      </c>
      <c r="Q26" s="2">
        <f t="shared" si="3"/>
        <v>41072.087</v>
      </c>
      <c r="R26" t="s">
        <v>50</v>
      </c>
      <c r="U26" s="46"/>
    </row>
    <row r="27" spans="1:21" ht="12" customHeight="1" x14ac:dyDescent="0.2">
      <c r="A27" s="32" t="s">
        <v>49</v>
      </c>
      <c r="B27" s="53" t="s">
        <v>40</v>
      </c>
      <c r="C27" s="33">
        <v>57640.656150000003</v>
      </c>
      <c r="D27" s="33">
        <v>1E-4</v>
      </c>
      <c r="E27">
        <f t="shared" si="0"/>
        <v>6593.0019895663445</v>
      </c>
      <c r="F27">
        <f t="shared" si="1"/>
        <v>6593</v>
      </c>
      <c r="G27">
        <f>+C27-(C$7+F27*C$8)</f>
        <v>1.720000000204891E-3</v>
      </c>
      <c r="K27">
        <f>+G27</f>
        <v>1.720000000204891E-3</v>
      </c>
      <c r="O27">
        <f t="shared" ca="1" si="2"/>
        <v>1.9526166609328335E-4</v>
      </c>
      <c r="Q27" s="2">
        <f t="shared" si="3"/>
        <v>42622.156150000003</v>
      </c>
      <c r="R27" t="s">
        <v>1</v>
      </c>
      <c r="U27" s="46"/>
    </row>
    <row r="28" spans="1:21" ht="12" customHeight="1" x14ac:dyDescent="0.25">
      <c r="A28" s="34" t="s">
        <v>51</v>
      </c>
      <c r="B28" s="54" t="s">
        <v>40</v>
      </c>
      <c r="C28" s="36">
        <v>60113.15132400021</v>
      </c>
      <c r="D28" s="36">
        <v>8.4999999999999995E-4</v>
      </c>
      <c r="E28">
        <f t="shared" ref="E28" si="4">+(C28-C$7)/C$8</f>
        <v>9452.99802662804</v>
      </c>
      <c r="F28">
        <f t="shared" ref="F28" si="5">ROUND(2*E28,0)/2</f>
        <v>9453</v>
      </c>
      <c r="G28">
        <f>+C28-(C$7+F28*C$8)</f>
        <v>-1.7059997917385772E-3</v>
      </c>
      <c r="K28">
        <f>+G28</f>
        <v>-1.7059997917385772E-3</v>
      </c>
      <c r="O28">
        <f t="shared" ref="O28" ca="1" si="6">+C$11+C$12*$F28</f>
        <v>-1.8822921237016121E-3</v>
      </c>
      <c r="Q28" s="2">
        <f t="shared" ref="Q28" si="7">+C28-15018.5</f>
        <v>45094.65132400021</v>
      </c>
      <c r="U28" s="46" t="s">
        <v>57</v>
      </c>
    </row>
    <row r="29" spans="1:21" ht="12" customHeight="1" x14ac:dyDescent="0.2">
      <c r="B29" s="49"/>
      <c r="C29" s="10"/>
      <c r="D29" s="10"/>
      <c r="Q29" s="2"/>
    </row>
    <row r="30" spans="1:21" ht="12" customHeight="1" x14ac:dyDescent="0.2">
      <c r="B30" s="49"/>
      <c r="C30" s="10"/>
      <c r="D30" s="10"/>
      <c r="Q30" s="2"/>
    </row>
    <row r="31" spans="1:21" ht="12" customHeight="1" x14ac:dyDescent="0.2">
      <c r="B31" s="49"/>
      <c r="C31" s="10"/>
      <c r="D31" s="10"/>
      <c r="Q31" s="2"/>
    </row>
    <row r="32" spans="1:21" x14ac:dyDescent="0.2">
      <c r="B32" s="49"/>
      <c r="C32" s="10"/>
      <c r="D32" s="10"/>
      <c r="Q32" s="2"/>
    </row>
    <row r="33" spans="2:17" x14ac:dyDescent="0.2">
      <c r="B33" s="49"/>
      <c r="C33" s="10"/>
      <c r="D33" s="10"/>
      <c r="Q33" s="2"/>
    </row>
    <row r="34" spans="2:17" x14ac:dyDescent="0.2">
      <c r="B34" s="49"/>
      <c r="C34" s="10"/>
      <c r="D34" s="10"/>
    </row>
    <row r="35" spans="2:17" x14ac:dyDescent="0.2">
      <c r="C35" s="10"/>
      <c r="D35" s="10"/>
    </row>
    <row r="36" spans="2:17" x14ac:dyDescent="0.2">
      <c r="C36" s="10"/>
      <c r="D36" s="10"/>
    </row>
    <row r="37" spans="2:17" x14ac:dyDescent="0.2">
      <c r="C37" s="10"/>
      <c r="D37" s="10"/>
    </row>
    <row r="38" spans="2:17" x14ac:dyDescent="0.2">
      <c r="C38" s="10"/>
      <c r="D38" s="10"/>
    </row>
    <row r="39" spans="2:17" x14ac:dyDescent="0.2">
      <c r="C39" s="10"/>
      <c r="D39" s="10"/>
    </row>
    <row r="40" spans="2:17" x14ac:dyDescent="0.2">
      <c r="C40" s="10"/>
      <c r="D40" s="10"/>
    </row>
    <row r="41" spans="2:17" x14ac:dyDescent="0.2">
      <c r="C41" s="10"/>
      <c r="D41" s="10"/>
    </row>
    <row r="42" spans="2:17" x14ac:dyDescent="0.2">
      <c r="C42" s="10"/>
      <c r="D42" s="10"/>
    </row>
    <row r="43" spans="2:17" x14ac:dyDescent="0.2">
      <c r="C43" s="10"/>
      <c r="D43" s="10"/>
    </row>
    <row r="44" spans="2:17" x14ac:dyDescent="0.2">
      <c r="C44" s="10"/>
      <c r="D44" s="10"/>
    </row>
    <row r="45" spans="2:17" x14ac:dyDescent="0.2">
      <c r="C45" s="10"/>
      <c r="D45" s="10"/>
    </row>
    <row r="46" spans="2:17" x14ac:dyDescent="0.2">
      <c r="C46" s="10"/>
      <c r="D46" s="10"/>
    </row>
    <row r="47" spans="2:17" x14ac:dyDescent="0.2">
      <c r="C47" s="10"/>
      <c r="D47" s="10"/>
    </row>
    <row r="48" spans="2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hyperlinks>
    <hyperlink ref="H3296" r:id="rId1" display="http://vsolj.cetus-net.org/bulletin.html" xr:uid="{00000000-0004-0000-0000-000000000000}"/>
  </hyperlinks>
  <pageMargins left="0.75" right="0.75" top="1" bottom="1" header="0.5" footer="0.5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2024-07-23T05:59:46Z</dcterms:modified>
</cp:coreProperties>
</file>