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A6440455-9FBD-4415-91E1-F559FD43C2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/>
  <c r="G23" i="1" s="1"/>
  <c r="K23" i="1" s="1"/>
  <c r="Q23" i="1"/>
  <c r="F14" i="1"/>
  <c r="E24" i="1"/>
  <c r="F24" i="1" s="1"/>
  <c r="G24" i="1" s="1"/>
  <c r="K24" i="1" s="1"/>
  <c r="Q24" i="1"/>
  <c r="E28" i="1"/>
  <c r="F28" i="1" s="1"/>
  <c r="G28" i="1" s="1"/>
  <c r="K28" i="1" s="1"/>
  <c r="Q28" i="1"/>
  <c r="E25" i="1"/>
  <c r="F25" i="1" s="1"/>
  <c r="G25" i="1" s="1"/>
  <c r="K25" i="1" s="1"/>
  <c r="Q25" i="1"/>
  <c r="E26" i="1"/>
  <c r="F26" i="1" s="1"/>
  <c r="G26" i="1" s="1"/>
  <c r="K26" i="1" s="1"/>
  <c r="E27" i="1"/>
  <c r="F27" i="1" s="1"/>
  <c r="G27" i="1" s="1"/>
  <c r="K27" i="1" s="1"/>
  <c r="D9" i="1"/>
  <c r="C9" i="1"/>
  <c r="C21" i="1"/>
  <c r="E21" i="1"/>
  <c r="F21" i="1" s="1"/>
  <c r="G21" i="1" s="1"/>
  <c r="I21" i="1" s="1"/>
  <c r="E22" i="1"/>
  <c r="F22" i="1" s="1"/>
  <c r="G22" i="1" s="1"/>
  <c r="J22" i="1" s="1"/>
  <c r="Q26" i="1"/>
  <c r="Q27" i="1"/>
  <c r="Q22" i="1"/>
  <c r="C17" i="1"/>
  <c r="Q21" i="1"/>
  <c r="C11" i="1"/>
  <c r="C12" i="1"/>
  <c r="O23" i="1" l="1"/>
  <c r="F15" i="1"/>
  <c r="O25" i="1"/>
  <c r="O28" i="1"/>
  <c r="O24" i="1"/>
  <c r="C16" i="1"/>
  <c r="D18" i="1" s="1"/>
  <c r="O21" i="1"/>
  <c r="O27" i="1"/>
  <c r="O22" i="1"/>
  <c r="C15" i="1"/>
  <c r="O26" i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<sst xmlns="http://schemas.openxmlformats.org/spreadsheetml/2006/main" count="66" uniqueCount="54">
  <si>
    <t>IBVS 6244</t>
  </si>
  <si>
    <t>PE</t>
  </si>
  <si>
    <t>I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</si>
  <si>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</si>
  <si>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</si>
  <si>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</si>
  <si>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</si>
  <si>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</si>
  <si>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</si>
  <si>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</si>
  <si>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</si>
  <si>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</si>
  <si>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</si>
  <si>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</si>
  <si>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</si>
  <si>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</si>
  <si>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</si>
  <si>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</si>
  <si>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</si>
  <si>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</si>
  <si>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</si>
  <si>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</si>
  <si>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</si>
  <si>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</si>
  <si>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</si>
  <si>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</si>
  <si>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</si>
  <si>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</si>
  <si>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</si>
  <si>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</si>
  <si>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</si>
  <si>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</si>
  <si>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</si>
  <si>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</si>
  <si>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</si>
  <si>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</si>
  <si>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</si>
  <si>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</si>
  <si>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</si>
  <si>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</si>
  <si>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</si>
  <si>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</si>
  <si>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</si>
  <si>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BN Lyr / GSC na</t>
  </si>
  <si>
    <t>EA/SD</t>
  </si>
  <si>
    <t>IBVS 6118</t>
  </si>
  <si>
    <t>vis</t>
  </si>
  <si>
    <t>JBAV, 60</t>
  </si>
  <si>
    <t>II</t>
  </si>
  <si>
    <t>BAV 91 Feb 2024</t>
  </si>
  <si>
    <t>Next ToM-P</t>
  </si>
  <si>
    <t>Next ToM-S</t>
  </si>
  <si>
    <t>14.70-16.40</t>
  </si>
  <si>
    <t xml:space="preserve">Mag 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</si>
</sst>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3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rgb="FF00B050"/>
      <name val="Arial"/>
      <family val="2"/>
    </font>
    <font>
      <sz val="10"/>
      <color rgb="FF7030A0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5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21" fillId="0" borderId="0"/>
    <xf numFmtId="0" fontId="21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5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49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32" fillId="0" borderId="0" xfId="0" applyFont="1" applyAlignment="1">
      <alignment vertical="center" wrapText="1"/>
    </xf>
    <xf numFmtId="0" fontId="32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 wrapText="1"/>
    </xf>
    <xf numFmtId="0" fontId="31" fillId="0" borderId="0" xfId="41" applyFont="1" applyAlignment="1">
      <alignment horizontal="left" vertical="center"/>
    </xf>
    <xf numFmtId="0" fontId="31" fillId="0" borderId="0" xfId="41" applyFont="1" applyAlignment="1">
      <alignment horizontal="center" vertical="center" wrapText="1"/>
    </xf>
    <xf numFmtId="0" fontId="31" fillId="0" borderId="0" xfId="41" applyFont="1" applyAlignment="1">
      <alignment horizontal="left" vertical="center" wrapText="1"/>
    </xf>
    <xf numFmtId="0" fontId="0" fillId="0" borderId="0" xfId="0" applyAlignment="1">
      <alignment horizontal="right" vertical="center"/>
    </xf>
    <xf numFmtId="165" fontId="32" fillId="0" borderId="0" xfId="0" applyNumberFormat="1" applyFont="1" applyAlignment="1">
      <alignment horizontal="left" vertical="center" wrapText="1"/>
    </xf>
    <xf numFmtId="0" fontId="32" fillId="0" borderId="0" xfId="0" applyFont="1" applyAlignment="1">
      <alignment horizontal="left" vertical="center" wrapText="1"/>
    </xf>
    <xf numFmtId="0" fontId="32" fillId="0" borderId="0" xfId="0" applyFont="1" applyAlignment="1">
      <alignment horizontal="center" vertical="center"/>
    </xf>
    <xf numFmtId="0" fontId="33" fillId="0" borderId="13" xfId="0" applyFont="1" applyBorder="1" applyAlignment="1">
      <alignment horizontal="right" vertical="center"/>
    </xf>
    <xf numFmtId="0" fontId="33" fillId="0" borderId="16" xfId="0" applyFont="1" applyBorder="1" applyAlignment="1">
      <alignment horizontal="right" vertical="center"/>
    </xf>
    <xf numFmtId="0" fontId="5" fillId="24" borderId="11" xfId="0" applyFont="1" applyFill="1" applyBorder="1" applyAlignment="1">
      <alignment horizontal="right" vertical="center"/>
    </xf>
    <xf numFmtId="0" fontId="5" fillId="24" borderId="12" xfId="0" applyFont="1" applyFill="1" applyBorder="1" applyAlignment="1">
      <alignment horizontal="center" vertical="center"/>
    </xf>
    <xf numFmtId="0" fontId="34" fillId="0" borderId="14" xfId="0" applyFont="1" applyBorder="1" applyAlignment="1">
      <alignment horizontal="right" vertical="center"/>
    </xf>
    <xf numFmtId="0" fontId="35" fillId="0" borderId="14" xfId="0" applyFont="1" applyBorder="1" applyAlignment="1">
      <alignment horizontal="right" vertical="center"/>
    </xf>
    <xf numFmtId="22" fontId="35" fillId="0" borderId="14" xfId="0" applyNumberFormat="1" applyFont="1" applyBorder="1" applyAlignment="1">
      <alignment horizontal="right" vertical="center"/>
    </xf>
    <xf numFmtId="22" fontId="35" fillId="0" borderId="15" xfId="0" applyNumberFormat="1" applyFont="1" applyBorder="1" applyAlignment="1">
      <alignment horizontal="righ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BN Lyr - O-C Diagr.</a:t>
            </a:r>
          </a:p>
        </c:rich>
      </c:tx>
      <c:layout>
        <c:manualLayout>
          <c:xMode val="edge"/>
          <c:yMode val="edge"/>
          <c:x val="0.38796992481203008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481203007518797"/>
          <c:y val="0.14035127795846455"/>
          <c:w val="0.8285714285714286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E72-4FD3-B7B9-99E0D8FE30B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E72-4FD3-B7B9-99E0D8FE30B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1">
                  <c:v>0.23055799999565352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E72-4FD3-B7B9-99E0D8FE30B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2">
                  <c:v>0.23068749999947613</c:v>
                </c:pt>
                <c:pt idx="3">
                  <c:v>0.2969745000009425</c:v>
                </c:pt>
                <c:pt idx="4">
                  <c:v>0.25524299999960931</c:v>
                </c:pt>
                <c:pt idx="5">
                  <c:v>0.29936150000139605</c:v>
                </c:pt>
                <c:pt idx="6">
                  <c:v>0.31419599999935599</c:v>
                </c:pt>
                <c:pt idx="7">
                  <c:v>0.38710199999331962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E72-4FD3-B7B9-99E0D8FE30B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E72-4FD3-B7B9-99E0D8FE30B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E72-4FD3-B7B9-99E0D8FE30B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8.3000000000000001E-3</c:v>
                  </c:pt>
                  <c:pt idx="3">
                    <c:v>6.8999999999999999E-3</c:v>
                  </c:pt>
                  <c:pt idx="4">
                    <c:v>6.8999999999999999E-3</c:v>
                  </c:pt>
                  <c:pt idx="5">
                    <c:v>1E-4</c:v>
                  </c:pt>
                  <c:pt idx="6">
                    <c:v>5.0000000000000001E-4</c:v>
                  </c:pt>
                  <c:pt idx="7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E72-4FD3-B7B9-99E0D8FE30B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-0.84103024390095316</c:v>
                </c:pt>
                <c:pt idx="1">
                  <c:v>0.22831898307475917</c:v>
                </c:pt>
                <c:pt idx="2">
                  <c:v>0.23006522402721075</c:v>
                </c:pt>
                <c:pt idx="3">
                  <c:v>0.27059425822597127</c:v>
                </c:pt>
                <c:pt idx="4">
                  <c:v>0.27258416070667191</c:v>
                </c:pt>
                <c:pt idx="5">
                  <c:v>0.31924534336636712</c:v>
                </c:pt>
                <c:pt idx="6">
                  <c:v>0.31977327667757338</c:v>
                </c:pt>
                <c:pt idx="7">
                  <c:v>0.37354125391119952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E72-4FD3-B7B9-99E0D8FE30B3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13166</c:v>
                </c:pt>
                <c:pt idx="2">
                  <c:v>13187.5</c:v>
                </c:pt>
                <c:pt idx="3">
                  <c:v>13686.5</c:v>
                </c:pt>
                <c:pt idx="4">
                  <c:v>13711</c:v>
                </c:pt>
                <c:pt idx="5">
                  <c:v>14285.5</c:v>
                </c:pt>
                <c:pt idx="6">
                  <c:v>14292</c:v>
                </c:pt>
                <c:pt idx="7">
                  <c:v>14954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6E72-4FD3-B7B9-99E0D8FE30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46708304"/>
        <c:axId val="1"/>
      </c:scatterChart>
      <c:valAx>
        <c:axId val="4467083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030075187969926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4670830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02255639097744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05549CCA-D024-80B8-A29F-453C9A11F7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5.85546875" customWidth="1"/>
    <col min="2" max="2" width="3.85546875" customWidth="1"/>
    <col min="3" max="3" width="11.85546875" customWidth="1"/>
    <col min="4" max="4" width="9.42578125" customWidth="1"/>
    <col min="5" max="5" width="11" customWidth="1"/>
    <col min="6" max="6" width="15.71093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43</v>
      </c>
    </row>
    <row r="2" spans="1:6" s="5" customFormat="1" ht="12.95" customHeight="1" x14ac:dyDescent="0.2">
      <c r="A2" s="5" t="s">
        <v>28</v>
      </c>
      <c r="B2" s="5" t="s">
        <v>44</v>
      </c>
      <c r="C2" s="6"/>
      <c r="D2" s="6"/>
    </row>
    <row r="3" spans="1:6" s="5" customFormat="1" ht="12.95" customHeight="1" thickBot="1" x14ac:dyDescent="0.25"/>
    <row r="4" spans="1:6" s="5" customFormat="1" ht="12.95" customHeight="1" thickTop="1" thickBot="1" x14ac:dyDescent="0.25">
      <c r="A4" s="7" t="s">
        <v>5</v>
      </c>
      <c r="C4" s="8" t="s">
        <v>41</v>
      </c>
      <c r="D4" s="9" t="s">
        <v>41</v>
      </c>
    </row>
    <row r="5" spans="1:6" s="5" customFormat="1" ht="12.95" customHeight="1" thickTop="1" x14ac:dyDescent="0.2">
      <c r="A5" s="10" t="s">
        <v>33</v>
      </c>
      <c r="C5" s="11">
        <v>-9.5</v>
      </c>
      <c r="D5" s="5" t="s">
        <v>34</v>
      </c>
    </row>
    <row r="6" spans="1:6" s="5" customFormat="1" ht="12.95" customHeight="1" x14ac:dyDescent="0.2">
      <c r="A6" s="7" t="s">
        <v>6</v>
      </c>
    </row>
    <row r="7" spans="1:6" s="5" customFormat="1" ht="12.95" customHeight="1" x14ac:dyDescent="0.2">
      <c r="A7" s="5" t="s">
        <v>7</v>
      </c>
      <c r="C7" s="37">
        <v>25331.657999999999</v>
      </c>
      <c r="D7" s="13" t="s">
        <v>42</v>
      </c>
    </row>
    <row r="8" spans="1:6" s="5" customFormat="1" ht="12.95" customHeight="1" x14ac:dyDescent="0.2">
      <c r="A8" s="5" t="s">
        <v>8</v>
      </c>
      <c r="C8" s="37">
        <v>2.2822870000000002</v>
      </c>
      <c r="D8" s="13" t="s">
        <v>42</v>
      </c>
    </row>
    <row r="9" spans="1:6" s="5" customFormat="1" ht="12.95" customHeight="1" x14ac:dyDescent="0.2">
      <c r="A9" s="14" t="s">
        <v>36</v>
      </c>
      <c r="B9" s="15">
        <v>22</v>
      </c>
      <c r="C9" s="16" t="str">
        <f>"F"&amp;B9</f>
        <v>F22</v>
      </c>
      <c r="D9" s="17" t="str">
        <f>"G"&amp;B9</f>
        <v>G22</v>
      </c>
    </row>
    <row r="10" spans="1:6" s="5" customFormat="1" ht="12.95" customHeight="1" thickBot="1" x14ac:dyDescent="0.25">
      <c r="C10" s="18" t="s">
        <v>24</v>
      </c>
      <c r="D10" s="18" t="s">
        <v>25</v>
      </c>
    </row>
    <row r="11" spans="1:6" s="5" customFormat="1" ht="12.95" customHeight="1" x14ac:dyDescent="0.2">
      <c r="A11" s="5" t="s">
        <v>20</v>
      </c>
      <c r="C11" s="17">
        <f ca="1">INTERCEPT(INDIRECT($D$9):G992,INDIRECT($C$9):F992)</f>
        <v>-0.84103024390095316</v>
      </c>
      <c r="D11" s="6"/>
    </row>
    <row r="12" spans="1:6" s="5" customFormat="1" ht="12.95" customHeight="1" x14ac:dyDescent="0.2">
      <c r="A12" s="5" t="s">
        <v>21</v>
      </c>
      <c r="C12" s="17">
        <f ca="1">SLOPE(INDIRECT($D$9):G992,INDIRECT($C$9):F992)</f>
        <v>8.1220509416353662E-5</v>
      </c>
      <c r="D12" s="6"/>
      <c r="E12" s="43" t="s">
        <v>53</v>
      </c>
      <c r="F12" s="44" t="s">
        <v>52</v>
      </c>
    </row>
    <row r="13" spans="1:6" s="5" customFormat="1" ht="12.95" customHeight="1" x14ac:dyDescent="0.2">
      <c r="A13" s="5" t="s">
        <v>23</v>
      </c>
      <c r="C13" s="6" t="s">
        <v>18</v>
      </c>
      <c r="E13" s="41" t="s">
        <v>38</v>
      </c>
      <c r="F13" s="45">
        <v>1</v>
      </c>
    </row>
    <row r="14" spans="1:6" s="5" customFormat="1" ht="12.95" customHeight="1" x14ac:dyDescent="0.2">
      <c r="E14" s="41" t="s">
        <v>35</v>
      </c>
      <c r="F14" s="46">
        <f ca="1">NOW()+15018.5+$C$5/24</f>
        <v>60547.726278472219</v>
      </c>
    </row>
    <row r="15" spans="1:6" s="5" customFormat="1" ht="12.95" customHeight="1" x14ac:dyDescent="0.2">
      <c r="A15" s="19" t="s">
        <v>22</v>
      </c>
      <c r="C15" s="20">
        <f ca="1">(C7+C11)+(C8+C12)*INT(MAX(F21:F3533))</f>
        <v>59461.351339253917</v>
      </c>
      <c r="E15" s="41" t="s">
        <v>39</v>
      </c>
      <c r="F15" s="46">
        <f ca="1">ROUND(2*($F$14-$C$7)/$C$8,0)/2+$F$13</f>
        <v>15431</v>
      </c>
    </row>
    <row r="16" spans="1:6" s="5" customFormat="1" ht="12.95" customHeight="1" x14ac:dyDescent="0.2">
      <c r="A16" s="7" t="s">
        <v>9</v>
      </c>
      <c r="C16" s="22">
        <f ca="1">+C8+C12</f>
        <v>2.2823682205094165</v>
      </c>
      <c r="E16" s="41" t="s">
        <v>40</v>
      </c>
      <c r="F16" s="46">
        <f ca="1">ROUND(2*($F$14-$C$15)/$C$16,0)/2+$F$13</f>
        <v>477</v>
      </c>
    </row>
    <row r="17" spans="1:21" s="5" customFormat="1" ht="12.95" customHeight="1" thickBot="1" x14ac:dyDescent="0.25">
      <c r="A17" s="21" t="s">
        <v>32</v>
      </c>
      <c r="C17" s="5">
        <f>COUNT(C21:C2191)</f>
        <v>8</v>
      </c>
      <c r="E17" s="41" t="s">
        <v>50</v>
      </c>
      <c r="F17" s="47">
        <f ca="1">+$C$15+$C$16*$F$16-15018.5-$C$5/24</f>
        <v>45531.936813770248</v>
      </c>
    </row>
    <row r="18" spans="1:21" s="5" customFormat="1" ht="12.95" customHeight="1" thickTop="1" thickBot="1" x14ac:dyDescent="0.25">
      <c r="A18" s="7" t="s">
        <v>10</v>
      </c>
      <c r="C18" s="23">
        <f ca="1">+C15</f>
        <v>59461.351339253917</v>
      </c>
      <c r="D18" s="24">
        <f ca="1">+C16</f>
        <v>2.2823682205094165</v>
      </c>
      <c r="E18" s="42" t="s">
        <v>51</v>
      </c>
      <c r="F18" s="48">
        <f ca="1">+($C$15+$C$16*$F$16)-($C$16/2)-15018.5-$C$5/24</f>
        <v>45530.795629659995</v>
      </c>
    </row>
    <row r="19" spans="1:21" s="5" customFormat="1" ht="12.95" customHeight="1" thickTop="1" x14ac:dyDescent="0.2">
      <c r="E19" s="21"/>
      <c r="F19" s="25"/>
    </row>
    <row r="20" spans="1:21" s="5" customFormat="1" ht="12.95" customHeight="1" thickBot="1" x14ac:dyDescent="0.25">
      <c r="A20" s="18" t="s">
        <v>11</v>
      </c>
      <c r="B20" s="18" t="s">
        <v>12</v>
      </c>
      <c r="C20" s="18" t="s">
        <v>13</v>
      </c>
      <c r="D20" s="18" t="s">
        <v>17</v>
      </c>
      <c r="E20" s="18" t="s">
        <v>14</v>
      </c>
      <c r="F20" s="18" t="s">
        <v>15</v>
      </c>
      <c r="G20" s="18" t="s">
        <v>16</v>
      </c>
      <c r="H20" s="26" t="s">
        <v>4</v>
      </c>
      <c r="I20" s="26" t="s">
        <v>46</v>
      </c>
      <c r="J20" s="26" t="s">
        <v>1</v>
      </c>
      <c r="K20" s="26" t="s">
        <v>3</v>
      </c>
      <c r="L20" s="26" t="s">
        <v>29</v>
      </c>
      <c r="M20" s="26" t="s">
        <v>30</v>
      </c>
      <c r="N20" s="26" t="s">
        <v>31</v>
      </c>
      <c r="O20" s="26" t="s">
        <v>27</v>
      </c>
      <c r="P20" s="27" t="s">
        <v>26</v>
      </c>
      <c r="Q20" s="18" t="s">
        <v>19</v>
      </c>
      <c r="U20" s="28" t="s">
        <v>37</v>
      </c>
    </row>
    <row r="21" spans="1:21" s="5" customFormat="1" ht="12.95" customHeight="1" x14ac:dyDescent="0.2">
      <c r="A21" s="5" t="s">
        <v>42</v>
      </c>
      <c r="C21" s="12">
        <f>C$7</f>
        <v>25331.657999999999</v>
      </c>
      <c r="D21" s="12" t="s">
        <v>18</v>
      </c>
      <c r="E21" s="5">
        <f>+(C21-C$7)/C$8</f>
        <v>0</v>
      </c>
      <c r="F21" s="5">
        <f>ROUND(2*E21,0)/2</f>
        <v>0</v>
      </c>
      <c r="G21" s="5">
        <f>+C21-(C$7+F21*C$8)</f>
        <v>0</v>
      </c>
      <c r="I21" s="5">
        <f>+G21</f>
        <v>0</v>
      </c>
      <c r="O21" s="5">
        <f ca="1">+C$11+C$12*$F21</f>
        <v>-0.84103024390095316</v>
      </c>
      <c r="Q21" s="29">
        <f>+C21-15018.5</f>
        <v>10313.157999999999</v>
      </c>
    </row>
    <row r="22" spans="1:21" s="5" customFormat="1" ht="12.95" customHeight="1" x14ac:dyDescent="0.2">
      <c r="A22" s="30" t="s">
        <v>45</v>
      </c>
      <c r="B22" s="31" t="s">
        <v>2</v>
      </c>
      <c r="C22" s="32">
        <v>55380.479200000002</v>
      </c>
      <c r="D22" s="33">
        <v>5.9999999999999995E-4</v>
      </c>
      <c r="E22" s="5">
        <f>+(C22-C$7)/C$8</f>
        <v>13166.101020599075</v>
      </c>
      <c r="F22" s="5">
        <f>ROUND(2*E22,0)/2</f>
        <v>13166</v>
      </c>
      <c r="G22" s="5">
        <f>+C22-(C$7+F22*C$8)</f>
        <v>0.23055799999565352</v>
      </c>
      <c r="J22" s="5">
        <f>+G22</f>
        <v>0.23055799999565352</v>
      </c>
      <c r="O22" s="5">
        <f ca="1">+C$11+C$12*$F22</f>
        <v>0.22831898307475917</v>
      </c>
      <c r="Q22" s="29">
        <f>+C22-15018.5</f>
        <v>40361.979200000002</v>
      </c>
    </row>
    <row r="23" spans="1:21" s="5" customFormat="1" ht="12.95" customHeight="1" x14ac:dyDescent="0.2">
      <c r="A23" s="39" t="s">
        <v>49</v>
      </c>
      <c r="B23" s="40" t="s">
        <v>2</v>
      </c>
      <c r="C23" s="39">
        <v>55429.548499999997</v>
      </c>
      <c r="D23" s="39">
        <v>8.3000000000000001E-3</v>
      </c>
      <c r="E23" s="5">
        <f>+(C23-C$7)/C$8</f>
        <v>13187.601077340403</v>
      </c>
      <c r="F23" s="5">
        <f>ROUND(2*E23,0)/2</f>
        <v>13187.5</v>
      </c>
      <c r="G23" s="5">
        <f>+C23-(C$7+F23*C$8)</f>
        <v>0.23068749999947613</v>
      </c>
      <c r="K23" s="5">
        <f>+G23</f>
        <v>0.23068749999947613</v>
      </c>
      <c r="O23" s="5">
        <f ca="1">+C$11+C$12*$F23</f>
        <v>0.23006522402721075</v>
      </c>
      <c r="Q23" s="29">
        <f>+C23-15018.5</f>
        <v>40411.048499999997</v>
      </c>
    </row>
    <row r="24" spans="1:21" s="5" customFormat="1" ht="12.95" customHeight="1" x14ac:dyDescent="0.2">
      <c r="A24" s="3" t="s">
        <v>47</v>
      </c>
      <c r="B24" s="4" t="s">
        <v>48</v>
      </c>
      <c r="C24" s="38">
        <v>56568.476000000002</v>
      </c>
      <c r="D24" s="39">
        <v>6.8999999999999999E-3</v>
      </c>
      <c r="E24" s="5">
        <f>+(C24-C$7)/C$8</f>
        <v>13686.630121452736</v>
      </c>
      <c r="F24" s="5">
        <f>ROUND(2*E24,0)/2</f>
        <v>13686.5</v>
      </c>
      <c r="G24" s="5">
        <f>+C24-(C$7+F24*C$8)</f>
        <v>0.2969745000009425</v>
      </c>
      <c r="K24" s="5">
        <f>+G24</f>
        <v>0.2969745000009425</v>
      </c>
      <c r="O24" s="5">
        <f ca="1">+C$11+C$12*$F24</f>
        <v>0.27059425822597127</v>
      </c>
      <c r="Q24" s="29">
        <f>+C24-15018.5</f>
        <v>41549.976000000002</v>
      </c>
    </row>
    <row r="25" spans="1:21" s="5" customFormat="1" ht="12.95" customHeight="1" x14ac:dyDescent="0.2">
      <c r="A25" s="3" t="s">
        <v>47</v>
      </c>
      <c r="B25" s="4" t="s">
        <v>2</v>
      </c>
      <c r="C25" s="38">
        <v>56624.350299999998</v>
      </c>
      <c r="D25" s="39">
        <v>6.8999999999999999E-3</v>
      </c>
      <c r="E25" s="5">
        <f>+(C25-C$7)/C$8</f>
        <v>13711.111836504348</v>
      </c>
      <c r="F25" s="5">
        <f>ROUND(2*E25,0)/2</f>
        <v>13711</v>
      </c>
      <c r="G25" s="5">
        <f>+C25-(C$7+F25*C$8)</f>
        <v>0.25524299999960931</v>
      </c>
      <c r="K25" s="5">
        <f>+G25</f>
        <v>0.25524299999960931</v>
      </c>
      <c r="O25" s="5">
        <f ca="1">+C$11+C$12*$F25</f>
        <v>0.27258416070667191</v>
      </c>
      <c r="Q25" s="29">
        <f>+C25-15018.5</f>
        <v>41605.850299999998</v>
      </c>
    </row>
    <row r="26" spans="1:21" s="5" customFormat="1" ht="12.95" customHeight="1" x14ac:dyDescent="0.2">
      <c r="A26" s="34" t="s">
        <v>0</v>
      </c>
      <c r="B26" s="35" t="s">
        <v>2</v>
      </c>
      <c r="C26" s="36">
        <v>57935.568299999999</v>
      </c>
      <c r="D26" s="36">
        <v>1E-4</v>
      </c>
      <c r="E26" s="5">
        <f>+(C26-C$7)/C$8</f>
        <v>14285.631167333468</v>
      </c>
      <c r="F26" s="5">
        <f>ROUND(2*E26,0)/2</f>
        <v>14285.5</v>
      </c>
      <c r="G26" s="5">
        <f>+C26-(C$7+F26*C$8)</f>
        <v>0.29936150000139605</v>
      </c>
      <c r="K26" s="5">
        <f>+G26</f>
        <v>0.29936150000139605</v>
      </c>
      <c r="O26" s="5">
        <f ca="1">+C$11+C$12*$F26</f>
        <v>0.31924534336636712</v>
      </c>
      <c r="Q26" s="29">
        <f>+C26-15018.5</f>
        <v>42917.068299999999</v>
      </c>
    </row>
    <row r="27" spans="1:21" s="5" customFormat="1" ht="12.95" customHeight="1" x14ac:dyDescent="0.2">
      <c r="A27" s="34" t="s">
        <v>0</v>
      </c>
      <c r="B27" s="35" t="s">
        <v>2</v>
      </c>
      <c r="C27" s="36">
        <v>57950.417999999998</v>
      </c>
      <c r="D27" s="36">
        <v>5.0000000000000001E-4</v>
      </c>
      <c r="E27" s="5">
        <f>+(C27-C$7)/C$8</f>
        <v>14292.13766717332</v>
      </c>
      <c r="F27" s="5">
        <f>ROUND(2*E27,0)/2</f>
        <v>14292</v>
      </c>
      <c r="G27" s="5">
        <f>+C27-(C$7+F27*C$8)</f>
        <v>0.31419599999935599</v>
      </c>
      <c r="K27" s="5">
        <f>+G27</f>
        <v>0.31419599999935599</v>
      </c>
      <c r="O27" s="5">
        <f ca="1">+C$11+C$12*$F27</f>
        <v>0.31977327667757338</v>
      </c>
      <c r="Q27" s="29">
        <f>+C27-15018.5</f>
        <v>42931.917999999998</v>
      </c>
    </row>
    <row r="28" spans="1:21" s="5" customFormat="1" ht="12.95" customHeight="1" x14ac:dyDescent="0.2">
      <c r="A28" s="3" t="s">
        <v>47</v>
      </c>
      <c r="B28" s="4" t="s">
        <v>2</v>
      </c>
      <c r="C28" s="38">
        <v>59461.3649</v>
      </c>
      <c r="D28" s="39">
        <v>4.1999999999999997E-3</v>
      </c>
      <c r="E28" s="5">
        <f>+(C28-C$7)/C$8</f>
        <v>14954.169611446765</v>
      </c>
      <c r="F28" s="5">
        <f>ROUND(2*E28,0)/2</f>
        <v>14954</v>
      </c>
      <c r="G28" s="5">
        <f>+C28-(C$7+F28*C$8)</f>
        <v>0.38710199999331962</v>
      </c>
      <c r="K28" s="5">
        <f>+G28</f>
        <v>0.38710199999331962</v>
      </c>
      <c r="O28" s="5">
        <f ca="1">+C$11+C$12*$F28</f>
        <v>0.37354125391119952</v>
      </c>
      <c r="Q28" s="29">
        <f>+C28-15018.5</f>
        <v>44442.8649</v>
      </c>
    </row>
    <row r="29" spans="1:21" s="5" customFormat="1" ht="12.95" customHeight="1" x14ac:dyDescent="0.2">
      <c r="C29" s="12"/>
      <c r="D29" s="12"/>
      <c r="Q29" s="29"/>
    </row>
    <row r="30" spans="1:21" s="5" customFormat="1" ht="12.95" customHeight="1" x14ac:dyDescent="0.2">
      <c r="C30" s="12"/>
      <c r="D30" s="12"/>
      <c r="Q30" s="29"/>
    </row>
    <row r="31" spans="1:21" s="5" customFormat="1" ht="12.95" customHeight="1" x14ac:dyDescent="0.2">
      <c r="C31" s="12"/>
      <c r="D31" s="12"/>
      <c r="Q31" s="29"/>
    </row>
    <row r="32" spans="1:21" s="5" customFormat="1" ht="12.95" customHeight="1" x14ac:dyDescent="0.2">
      <c r="C32" s="12"/>
      <c r="D32" s="12"/>
      <c r="Q32" s="29"/>
    </row>
    <row r="33" spans="3:17" s="5" customFormat="1" ht="12.95" customHeight="1" x14ac:dyDescent="0.2">
      <c r="C33" s="12"/>
      <c r="D33" s="12"/>
      <c r="Q33" s="29"/>
    </row>
    <row r="34" spans="3:17" s="5" customFormat="1" ht="12.95" customHeight="1" x14ac:dyDescent="0.2">
      <c r="C34" s="12"/>
      <c r="D34" s="12"/>
    </row>
    <row r="35" spans="3:17" s="5" customFormat="1" ht="12.95" customHeight="1" x14ac:dyDescent="0.2">
      <c r="C35" s="12"/>
      <c r="D35" s="12"/>
    </row>
    <row r="36" spans="3:17" s="5" customFormat="1" ht="12.95" customHeight="1" x14ac:dyDescent="0.2">
      <c r="C36" s="12"/>
      <c r="D36" s="12"/>
    </row>
    <row r="37" spans="3:17" s="5" customFormat="1" ht="12.95" customHeight="1" x14ac:dyDescent="0.2">
      <c r="C37" s="12"/>
      <c r="D37" s="12"/>
    </row>
    <row r="38" spans="3:17" x14ac:dyDescent="0.2">
      <c r="C38" s="2"/>
      <c r="D38" s="2"/>
    </row>
    <row r="39" spans="3:17" x14ac:dyDescent="0.2">
      <c r="C39" s="2"/>
      <c r="D39" s="2"/>
    </row>
    <row r="40" spans="3:17" x14ac:dyDescent="0.2">
      <c r="C40" s="2"/>
      <c r="D40" s="2"/>
    </row>
    <row r="41" spans="3:17" x14ac:dyDescent="0.2">
      <c r="C41" s="2"/>
      <c r="D41" s="2"/>
    </row>
    <row r="42" spans="3:17" x14ac:dyDescent="0.2">
      <c r="C42" s="2"/>
      <c r="D42" s="2"/>
    </row>
    <row r="43" spans="3:17" x14ac:dyDescent="0.2">
      <c r="C43" s="2"/>
      <c r="D43" s="2"/>
    </row>
    <row r="44" spans="3:17" x14ac:dyDescent="0.2">
      <c r="C44" s="2"/>
      <c r="D44" s="2"/>
    </row>
    <row r="45" spans="3:17" x14ac:dyDescent="0.2">
      <c r="C45" s="2"/>
      <c r="D45" s="2"/>
    </row>
    <row r="46" spans="3:17" x14ac:dyDescent="0.2">
      <c r="C46" s="2"/>
      <c r="D46" s="2"/>
    </row>
    <row r="47" spans="3:17" x14ac:dyDescent="0.2">
      <c r="C47" s="2"/>
      <c r="D47" s="2"/>
    </row>
    <row r="48" spans="3:17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  <row r="6940" spans="3:4" x14ac:dyDescent="0.2">
      <c r="C6940" s="2"/>
      <c r="D6940" s="2"/>
    </row>
  </sheetData>
  <sortState xmlns:xlrd2="http://schemas.microsoft.com/office/spreadsheetml/2017/richdata2" ref="A21:Z39">
    <sortCondition ref="C21:C39"/>
  </sortState>
  <phoneticPr fontId="7" type="noConversion"/>
  <hyperlinks>
    <hyperlink ref="H63799" r:id="rId1" display="http://vsolj.cetus-net.org/bulletin.html" xr:uid="{00000000-0004-0000-0000-000000000000}"/>
    <hyperlink ref="H63792" r:id="rId2" display="https://www.aavso.org/ejaavso" xr:uid="{00000000-0004-0000-0000-000001000000}"/>
    <hyperlink ref="I63799" r:id="rId3" display="http://vsolj.cetus-net.org/bulletin.html" xr:uid="{00000000-0004-0000-0000-000002000000}"/>
    <hyperlink ref="AQ57450" r:id="rId4" display="http://cdsbib.u-strasbg.fr/cgi-bin/cdsbib?1990RMxAA..21..381G" xr:uid="{00000000-0004-0000-0000-000003000000}"/>
    <hyperlink ref="H63796" r:id="rId5" display="https://www.aavso.org/ejaavso" xr:uid="{00000000-0004-0000-0000-000004000000}"/>
    <hyperlink ref="AP4814" r:id="rId6" display="http://cdsbib.u-strasbg.fr/cgi-bin/cdsbib?1990RMxAA..21..381G" xr:uid="{00000000-0004-0000-0000-000005000000}"/>
    <hyperlink ref="AP4817" r:id="rId7" display="http://cdsbib.u-strasbg.fr/cgi-bin/cdsbib?1990RMxAA..21..381G" xr:uid="{00000000-0004-0000-0000-000006000000}"/>
    <hyperlink ref="AP4815" r:id="rId8" display="http://cdsbib.u-strasbg.fr/cgi-bin/cdsbib?1990RMxAA..21..381G" xr:uid="{00000000-0004-0000-0000-000007000000}"/>
    <hyperlink ref="AP4799" r:id="rId9" display="http://cdsbib.u-strasbg.fr/cgi-bin/cdsbib?1990RMxAA..21..381G" xr:uid="{00000000-0004-0000-0000-000008000000}"/>
    <hyperlink ref="AQ5028" r:id="rId10" display="http://cdsbib.u-strasbg.fr/cgi-bin/cdsbib?1990RMxAA..21..381G" xr:uid="{00000000-0004-0000-0000-000009000000}"/>
    <hyperlink ref="AQ5032" r:id="rId11" display="http://cdsbib.u-strasbg.fr/cgi-bin/cdsbib?1990RMxAA..21..381G" xr:uid="{00000000-0004-0000-0000-00000A000000}"/>
    <hyperlink ref="AQ64712" r:id="rId12" display="http://cdsbib.u-strasbg.fr/cgi-bin/cdsbib?1990RMxAA..21..381G" xr:uid="{00000000-0004-0000-0000-00000B000000}"/>
    <hyperlink ref="I1920" r:id="rId13" display="http://vsolj.cetus-net.org/bulletin.html" xr:uid="{00000000-0004-0000-0000-00000C000000}"/>
    <hyperlink ref="H1920" r:id="rId14" display="http://vsolj.cetus-net.org/bulletin.html" xr:uid="{00000000-0004-0000-0000-00000D000000}"/>
    <hyperlink ref="AQ65373" r:id="rId15" display="http://cdsbib.u-strasbg.fr/cgi-bin/cdsbib?1990RMxAA..21..381G" xr:uid="{00000000-0004-0000-0000-00000E000000}"/>
    <hyperlink ref="AQ65372" r:id="rId16" display="http://cdsbib.u-strasbg.fr/cgi-bin/cdsbib?1990RMxAA..21..381G" xr:uid="{00000000-0004-0000-0000-00000F000000}"/>
    <hyperlink ref="AP3090" r:id="rId17" display="http://cdsbib.u-strasbg.fr/cgi-bin/cdsbib?1990RMxAA..21..381G" xr:uid="{00000000-0004-0000-0000-000010000000}"/>
    <hyperlink ref="AP3108" r:id="rId18" display="http://cdsbib.u-strasbg.fr/cgi-bin/cdsbib?1990RMxAA..21..381G" xr:uid="{00000000-0004-0000-0000-000011000000}"/>
    <hyperlink ref="AP3109" r:id="rId19" display="http://cdsbib.u-strasbg.fr/cgi-bin/cdsbib?1990RMxAA..21..381G" xr:uid="{00000000-0004-0000-0000-000012000000}"/>
    <hyperlink ref="AP3105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2024-08-25T05:25:50Z</dcterms:modified>
</cp:coreProperties>
</file>