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EEBBC6B7-E117-4D61-B6E9-4035D5B48C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25" i="1" l="1"/>
  <c r="F26" i="1"/>
  <c r="F27" i="1"/>
  <c r="F28" i="1"/>
  <c r="F29" i="1"/>
  <c r="F30" i="1"/>
  <c r="G30" i="1" s="1"/>
  <c r="I30" i="1" s="1"/>
  <c r="F31" i="1"/>
  <c r="F32" i="1"/>
  <c r="G32" i="1" s="1"/>
  <c r="I32" i="1" s="1"/>
  <c r="F33" i="1"/>
  <c r="E25" i="1"/>
  <c r="G25" i="1"/>
  <c r="I25" i="1" s="1"/>
  <c r="Q25" i="1"/>
  <c r="E26" i="1"/>
  <c r="G26" i="1"/>
  <c r="I26" i="1" s="1"/>
  <c r="Q26" i="1"/>
  <c r="E28" i="1"/>
  <c r="G28" i="1"/>
  <c r="I28" i="1" s="1"/>
  <c r="Q28" i="1"/>
  <c r="F14" i="1"/>
  <c r="C31" i="1"/>
  <c r="C17" i="1" s="1"/>
  <c r="A31" i="1"/>
  <c r="E29" i="1"/>
  <c r="G29" i="1"/>
  <c r="I29" i="1" s="1"/>
  <c r="Q29" i="1"/>
  <c r="E30" i="1"/>
  <c r="Q30" i="1"/>
  <c r="E32" i="1"/>
  <c r="Q32" i="1"/>
  <c r="E33" i="1"/>
  <c r="G33" i="1"/>
  <c r="I33" i="1" s="1"/>
  <c r="Q33" i="1"/>
  <c r="E21" i="1"/>
  <c r="F21" i="1" s="1"/>
  <c r="G21" i="1" s="1"/>
  <c r="I21" i="1" s="1"/>
  <c r="E22" i="1"/>
  <c r="F22" i="1" s="1"/>
  <c r="G22" i="1" s="1"/>
  <c r="I22" i="1" s="1"/>
  <c r="E24" i="1"/>
  <c r="F24" i="1" s="1"/>
  <c r="G24" i="1" s="1"/>
  <c r="I24" i="1" s="1"/>
  <c r="E27" i="1"/>
  <c r="G27" i="1"/>
  <c r="I27" i="1" s="1"/>
  <c r="E23" i="1"/>
  <c r="F23" i="1" s="1"/>
  <c r="G23" i="1" s="1"/>
  <c r="I23" i="1" s="1"/>
  <c r="Q21" i="1"/>
  <c r="Q22" i="1"/>
  <c r="Q24" i="1"/>
  <c r="Q27" i="1"/>
  <c r="G11" i="1"/>
  <c r="F11" i="1"/>
  <c r="Q23" i="1"/>
  <c r="F15" i="1" l="1"/>
  <c r="Q31" i="1"/>
  <c r="G31" i="1"/>
  <c r="E31" i="1"/>
  <c r="C11" i="1"/>
  <c r="C12" i="1"/>
  <c r="O28" i="1" l="1"/>
  <c r="S28" i="1" s="1"/>
  <c r="O26" i="1"/>
  <c r="S26" i="1" s="1"/>
  <c r="O25" i="1"/>
  <c r="S25" i="1" s="1"/>
  <c r="H31" i="1"/>
  <c r="O31" i="1"/>
  <c r="S31" i="1" s="1"/>
  <c r="O30" i="1"/>
  <c r="S30" i="1" s="1"/>
  <c r="O32" i="1"/>
  <c r="S32" i="1" s="1"/>
  <c r="O29" i="1"/>
  <c r="S29" i="1" s="1"/>
  <c r="O33" i="1"/>
  <c r="S33" i="1" s="1"/>
  <c r="O21" i="1"/>
  <c r="S21" i="1" s="1"/>
  <c r="O22" i="1"/>
  <c r="S22" i="1" s="1"/>
  <c r="C16" i="1"/>
  <c r="D18" i="1" s="1"/>
  <c r="C15" i="1"/>
  <c r="O24" i="1"/>
  <c r="S24" i="1" s="1"/>
  <c r="O23" i="1"/>
  <c r="S23" i="1" s="1"/>
  <c r="O27" i="1"/>
  <c r="S27" i="1" s="1"/>
  <c r="F16" i="1" l="1"/>
  <c r="F17" i="1" s="1"/>
  <c r="S19" i="1"/>
  <c r="C18" i="1"/>
  <c r="F18" i="1" l="1"/>
</calcChain>
</file>

<file path=xl/sharedStrings.xml><?xml version="1.0" encoding="utf-8"?>
<sst xmlns="http://schemas.openxmlformats.org/spreadsheetml/2006/main" count="78" uniqueCount="57">
  <si>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</si>
  <si>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</si>
  <si>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</si>
  <si>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</si>
  <si>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</si>
  <si>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</si>
  <si>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</si>
  <si>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</si>
  <si>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</si>
  <si>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</si>
  <si>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</si>
  <si>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</si>
  <si>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</si>
  <si>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</si>
  <si>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</si>
  <si>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</si>
  <si>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</si>
  <si>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</si>
  <si>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</si>
  <si>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</si>
  <si>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</si>
  <si>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</si>
  <si>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</si>
  <si>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</si>
  <si>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</si>
  <si>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</si>
  <si>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</si>
  <si>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</si>
  <si>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</si>
  <si>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</si>
  <si>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</si>
  <si>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</si>
  <si>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</si>
  <si>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</si>
  <si>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</si>
  <si>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</si>
  <si>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</si>
  <si>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</si>
  <si>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</si>
  <si>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</si>
  <si>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G2134-0821</t>
  </si>
  <si>
    <t>G2134-0821_Lyr.xls</t>
  </si>
  <si>
    <t>EW</t>
  </si>
  <si>
    <t>Lyr</t>
  </si>
  <si>
    <t>VSX</t>
  </si>
  <si>
    <t>IBVS 6010</t>
  </si>
  <si>
    <t>I</t>
  </si>
  <si>
    <t>IBVS 6084</t>
  </si>
  <si>
    <t>JBAV, 76</t>
  </si>
  <si>
    <t>II</t>
  </si>
  <si>
    <t>V0867 Lyr / GSC 2134-0821</t>
  </si>
  <si>
    <t>CCD</t>
  </si>
  <si>
    <t>BAV 91 Feb 2024</t>
  </si>
  <si>
    <t>Next ToM-P</t>
  </si>
  <si>
    <t>Next ToM-S</t>
  </si>
  <si>
    <t>12.413 (0.349)</t>
  </si>
  <si>
    <t xml:space="preserve">Mag 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</si>
</sst>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&quot;$&quot;#,##0_);\(&quot;$&quot;#,##0\)"/>
    <numFmt numFmtId="165" formatCode="0.00000"/>
    <numFmt numFmtId="166" formatCode="0.0000"/>
  </numFmts>
  <fonts count="23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0"/>
      <color rgb="FF7030A0"/>
      <name val="Arial"/>
      <family val="2"/>
    </font>
    <font>
      <b/>
      <sz val="10"/>
      <color rgb="FF0070C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1" applyNumberFormat="0" applyFont="0" applyFill="0" applyAlignment="0" applyProtection="0"/>
    <xf numFmtId="43" fontId="18" fillId="0" borderId="0" applyFont="0" applyFill="0" applyBorder="0" applyAlignment="0" applyProtection="0"/>
  </cellStyleXfs>
  <cellXfs count="49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5" fillId="2" borderId="0" xfId="0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43" fontId="19" fillId="0" borderId="0" xfId="8" applyFont="1" applyBorder="1" applyAlignment="1">
      <alignment vertical="center" wrapText="1"/>
    </xf>
    <xf numFmtId="43" fontId="19" fillId="0" borderId="0" xfId="8" applyFont="1" applyBorder="1" applyAlignment="1">
      <alignment horizontal="center" vertical="center"/>
    </xf>
    <xf numFmtId="165" fontId="19" fillId="0" borderId="0" xfId="0" applyNumberFormat="1" applyFont="1" applyAlignment="1" applyProtection="1">
      <alignment horizontal="left" vertical="center" wrapText="1"/>
      <protection locked="0"/>
    </xf>
    <xf numFmtId="166" fontId="19" fillId="0" borderId="0" xfId="8" applyNumberFormat="1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1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20" fillId="0" borderId="7" xfId="0" applyFont="1" applyBorder="1" applyAlignment="1">
      <alignment horizontal="right" vertical="center"/>
    </xf>
    <xf numFmtId="22" fontId="20" fillId="0" borderId="7" xfId="0" applyNumberFormat="1" applyFont="1" applyBorder="1" applyAlignment="1">
      <alignment horizontal="right" vertical="center"/>
    </xf>
    <xf numFmtId="0" fontId="20" fillId="0" borderId="10" xfId="0" applyFont="1" applyBorder="1" applyAlignment="1">
      <alignment horizontal="right" vertical="center"/>
    </xf>
    <xf numFmtId="0" fontId="6" fillId="3" borderId="5" xfId="0" applyFont="1" applyFill="1" applyBorder="1" applyAlignment="1">
      <alignment horizontal="right" vertical="center"/>
    </xf>
    <xf numFmtId="0" fontId="6" fillId="3" borderId="6" xfId="0" applyFont="1" applyFill="1" applyBorder="1" applyAlignment="1">
      <alignment horizontal="center" vertical="center"/>
    </xf>
    <xf numFmtId="0" fontId="21" fillId="0" borderId="8" xfId="0" applyFont="1" applyBorder="1" applyAlignment="1">
      <alignment horizontal="right" vertical="center"/>
    </xf>
    <xf numFmtId="0" fontId="22" fillId="0" borderId="8" xfId="0" applyFont="1" applyBorder="1" applyAlignment="1">
      <alignment horizontal="right" vertical="center"/>
    </xf>
    <xf numFmtId="22" fontId="22" fillId="0" borderId="8" xfId="0" applyNumberFormat="1" applyFont="1" applyBorder="1" applyAlignment="1">
      <alignment horizontal="right" vertical="center"/>
    </xf>
    <xf numFmtId="22" fontId="22" fillId="0" borderId="9" xfId="0" applyNumberFormat="1" applyFont="1" applyBorder="1" applyAlignment="1">
      <alignment horizontal="right" vertical="center"/>
    </xf>
    <xf numFmtId="0" fontId="6" fillId="0" borderId="0" xfId="0" applyFont="1" applyAlignment="1">
      <alignment horizontal="left" vertical="center"/>
    </xf>
  </cellXfs>
  <cellStyles count="9">
    <cellStyle name="Comma" xfId="8" builtinId="3"/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V0867 Lyr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2406015037593983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Active!$D$21:$D$237</c:f>
                <c:numCache>
                  <c:formatCode>General</c:formatCode>
                  <c:ptCount val="21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plus>
            <c:minus>
              <c:numRef>
                <c:f>Active!$D$21:$D$237</c:f>
                <c:numCache>
                  <c:formatCode>General</c:formatCode>
                  <c:ptCount val="21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-4289</c:v>
                </c:pt>
                <c:pt idx="1">
                  <c:v>-4256</c:v>
                </c:pt>
                <c:pt idx="2">
                  <c:v>-4242.5</c:v>
                </c:pt>
                <c:pt idx="3">
                  <c:v>-4226</c:v>
                </c:pt>
                <c:pt idx="4">
                  <c:v>-4226</c:v>
                </c:pt>
                <c:pt idx="5">
                  <c:v>-2613</c:v>
                </c:pt>
                <c:pt idx="6">
                  <c:v>-2613</c:v>
                </c:pt>
                <c:pt idx="7">
                  <c:v>-2511</c:v>
                </c:pt>
                <c:pt idx="8">
                  <c:v>-2494.5</c:v>
                </c:pt>
                <c:pt idx="9">
                  <c:v>-2478</c:v>
                </c:pt>
                <c:pt idx="10">
                  <c:v>0</c:v>
                </c:pt>
                <c:pt idx="11">
                  <c:v>2365</c:v>
                </c:pt>
                <c:pt idx="12">
                  <c:v>2399.5</c:v>
                </c:pt>
              </c:numCache>
            </c:numRef>
          </c:xVal>
          <c:yVal>
            <c:numRef>
              <c:f>Active!$H$21:$H$997</c:f>
              <c:numCache>
                <c:formatCode>General</c:formatCode>
                <c:ptCount val="977"/>
                <c:pt idx="1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2E7-43C3-B11A-EF7E7DBC9F8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-4289</c:v>
                </c:pt>
                <c:pt idx="1">
                  <c:v>-4256</c:v>
                </c:pt>
                <c:pt idx="2">
                  <c:v>-4242.5</c:v>
                </c:pt>
                <c:pt idx="3">
                  <c:v>-4226</c:v>
                </c:pt>
                <c:pt idx="4">
                  <c:v>-4226</c:v>
                </c:pt>
                <c:pt idx="5">
                  <c:v>-2613</c:v>
                </c:pt>
                <c:pt idx="6">
                  <c:v>-2613</c:v>
                </c:pt>
                <c:pt idx="7">
                  <c:v>-2511</c:v>
                </c:pt>
                <c:pt idx="8">
                  <c:v>-2494.5</c:v>
                </c:pt>
                <c:pt idx="9">
                  <c:v>-2478</c:v>
                </c:pt>
                <c:pt idx="10">
                  <c:v>0</c:v>
                </c:pt>
                <c:pt idx="11">
                  <c:v>2365</c:v>
                </c:pt>
                <c:pt idx="12">
                  <c:v>2399.5</c:v>
                </c:pt>
              </c:numCache>
            </c:numRef>
          </c:xVal>
          <c:yVal>
            <c:numRef>
              <c:f>Active!$I$21:$I$997</c:f>
              <c:numCache>
                <c:formatCode>General</c:formatCode>
                <c:ptCount val="977"/>
                <c:pt idx="0">
                  <c:v>5.2537800002028234E-2</c:v>
                </c:pt>
                <c:pt idx="1">
                  <c:v>5.2471200004220009E-2</c:v>
                </c:pt>
                <c:pt idx="2">
                  <c:v>5.2748499998415355E-2</c:v>
                </c:pt>
                <c:pt idx="3">
                  <c:v>5.2265199999965262E-2</c:v>
                </c:pt>
                <c:pt idx="4">
                  <c:v>5.296519999683369E-2</c:v>
                </c:pt>
                <c:pt idx="5">
                  <c:v>3.2182599999941885E-2</c:v>
                </c:pt>
                <c:pt idx="6">
                  <c:v>3.2882600004086271E-2</c:v>
                </c:pt>
                <c:pt idx="7">
                  <c:v>3.072220000467496E-2</c:v>
                </c:pt>
                <c:pt idx="8">
                  <c:v>3.143889999773819E-2</c:v>
                </c:pt>
                <c:pt idx="9">
                  <c:v>3.8455600006273016E-2</c:v>
                </c:pt>
                <c:pt idx="11">
                  <c:v>-3.1272999993234407E-2</c:v>
                </c:pt>
                <c:pt idx="12">
                  <c:v>-2.8119899994635489E-2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2E7-43C3-B11A-EF7E7DBC9F8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-4289</c:v>
                </c:pt>
                <c:pt idx="1">
                  <c:v>-4256</c:v>
                </c:pt>
                <c:pt idx="2">
                  <c:v>-4242.5</c:v>
                </c:pt>
                <c:pt idx="3">
                  <c:v>-4226</c:v>
                </c:pt>
                <c:pt idx="4">
                  <c:v>-4226</c:v>
                </c:pt>
                <c:pt idx="5">
                  <c:v>-2613</c:v>
                </c:pt>
                <c:pt idx="6">
                  <c:v>-2613</c:v>
                </c:pt>
                <c:pt idx="7">
                  <c:v>-2511</c:v>
                </c:pt>
                <c:pt idx="8">
                  <c:v>-2494.5</c:v>
                </c:pt>
                <c:pt idx="9">
                  <c:v>-2478</c:v>
                </c:pt>
                <c:pt idx="10">
                  <c:v>0</c:v>
                </c:pt>
                <c:pt idx="11">
                  <c:v>2365</c:v>
                </c:pt>
                <c:pt idx="12">
                  <c:v>2399.5</c:v>
                </c:pt>
              </c:numCache>
            </c:numRef>
          </c:xVal>
          <c:yVal>
            <c:numRef>
              <c:f>Active!$J$21:$J$997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2E7-43C3-B11A-EF7E7DBC9F8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-4289</c:v>
                </c:pt>
                <c:pt idx="1">
                  <c:v>-4256</c:v>
                </c:pt>
                <c:pt idx="2">
                  <c:v>-4242.5</c:v>
                </c:pt>
                <c:pt idx="3">
                  <c:v>-4226</c:v>
                </c:pt>
                <c:pt idx="4">
                  <c:v>-4226</c:v>
                </c:pt>
                <c:pt idx="5">
                  <c:v>-2613</c:v>
                </c:pt>
                <c:pt idx="6">
                  <c:v>-2613</c:v>
                </c:pt>
                <c:pt idx="7">
                  <c:v>-2511</c:v>
                </c:pt>
                <c:pt idx="8">
                  <c:v>-2494.5</c:v>
                </c:pt>
                <c:pt idx="9">
                  <c:v>-2478</c:v>
                </c:pt>
                <c:pt idx="10">
                  <c:v>0</c:v>
                </c:pt>
                <c:pt idx="11">
                  <c:v>2365</c:v>
                </c:pt>
                <c:pt idx="12">
                  <c:v>2399.5</c:v>
                </c:pt>
              </c:numCache>
            </c:numRef>
          </c:xVal>
          <c:yVal>
            <c:numRef>
              <c:f>Active!$K$21:$K$997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2E7-43C3-B11A-EF7E7DBC9F8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-4289</c:v>
                </c:pt>
                <c:pt idx="1">
                  <c:v>-4256</c:v>
                </c:pt>
                <c:pt idx="2">
                  <c:v>-4242.5</c:v>
                </c:pt>
                <c:pt idx="3">
                  <c:v>-4226</c:v>
                </c:pt>
                <c:pt idx="4">
                  <c:v>-4226</c:v>
                </c:pt>
                <c:pt idx="5">
                  <c:v>-2613</c:v>
                </c:pt>
                <c:pt idx="6">
                  <c:v>-2613</c:v>
                </c:pt>
                <c:pt idx="7">
                  <c:v>-2511</c:v>
                </c:pt>
                <c:pt idx="8">
                  <c:v>-2494.5</c:v>
                </c:pt>
                <c:pt idx="9">
                  <c:v>-2478</c:v>
                </c:pt>
                <c:pt idx="10">
                  <c:v>0</c:v>
                </c:pt>
                <c:pt idx="11">
                  <c:v>2365</c:v>
                </c:pt>
                <c:pt idx="12">
                  <c:v>2399.5</c:v>
                </c:pt>
              </c:numCache>
            </c:numRef>
          </c:xVal>
          <c:yVal>
            <c:numRef>
              <c:f>Active!$L$21:$L$997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2E7-43C3-B11A-EF7E7DBC9F8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-4289</c:v>
                </c:pt>
                <c:pt idx="1">
                  <c:v>-4256</c:v>
                </c:pt>
                <c:pt idx="2">
                  <c:v>-4242.5</c:v>
                </c:pt>
                <c:pt idx="3">
                  <c:v>-4226</c:v>
                </c:pt>
                <c:pt idx="4">
                  <c:v>-4226</c:v>
                </c:pt>
                <c:pt idx="5">
                  <c:v>-2613</c:v>
                </c:pt>
                <c:pt idx="6">
                  <c:v>-2613</c:v>
                </c:pt>
                <c:pt idx="7">
                  <c:v>-2511</c:v>
                </c:pt>
                <c:pt idx="8">
                  <c:v>-2494.5</c:v>
                </c:pt>
                <c:pt idx="9">
                  <c:v>-2478</c:v>
                </c:pt>
                <c:pt idx="10">
                  <c:v>0</c:v>
                </c:pt>
                <c:pt idx="11">
                  <c:v>2365</c:v>
                </c:pt>
                <c:pt idx="12">
                  <c:v>2399.5</c:v>
                </c:pt>
              </c:numCache>
            </c:numRef>
          </c:xVal>
          <c:yVal>
            <c:numRef>
              <c:f>Active!$M$21:$M$997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2E7-43C3-B11A-EF7E7DBC9F8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4.0000000000000002E-4</c:v>
                  </c:pt>
                  <c:pt idx="1">
                    <c:v>4.0000000000000002E-4</c:v>
                  </c:pt>
                  <c:pt idx="2">
                    <c:v>5.9999999999999995E-4</c:v>
                  </c:pt>
                  <c:pt idx="3">
                    <c:v>2.9999999999999997E-4</c:v>
                  </c:pt>
                  <c:pt idx="4">
                    <c:v>4.1999999999999997E-3</c:v>
                  </c:pt>
                  <c:pt idx="5">
                    <c:v>5.5999999999999999E-3</c:v>
                  </c:pt>
                  <c:pt idx="6">
                    <c:v>1E-3</c:v>
                  </c:pt>
                  <c:pt idx="7">
                    <c:v>3.5000000000000001E-3</c:v>
                  </c:pt>
                  <c:pt idx="8">
                    <c:v>4.8999999999999998E-3</c:v>
                  </c:pt>
                  <c:pt idx="9">
                    <c:v>8.3000000000000001E-3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-4289</c:v>
                </c:pt>
                <c:pt idx="1">
                  <c:v>-4256</c:v>
                </c:pt>
                <c:pt idx="2">
                  <c:v>-4242.5</c:v>
                </c:pt>
                <c:pt idx="3">
                  <c:v>-4226</c:v>
                </c:pt>
                <c:pt idx="4">
                  <c:v>-4226</c:v>
                </c:pt>
                <c:pt idx="5">
                  <c:v>-2613</c:v>
                </c:pt>
                <c:pt idx="6">
                  <c:v>-2613</c:v>
                </c:pt>
                <c:pt idx="7">
                  <c:v>-2511</c:v>
                </c:pt>
                <c:pt idx="8">
                  <c:v>-2494.5</c:v>
                </c:pt>
                <c:pt idx="9">
                  <c:v>-2478</c:v>
                </c:pt>
                <c:pt idx="10">
                  <c:v>0</c:v>
                </c:pt>
                <c:pt idx="11">
                  <c:v>2365</c:v>
                </c:pt>
                <c:pt idx="12">
                  <c:v>2399.5</c:v>
                </c:pt>
              </c:numCache>
            </c:numRef>
          </c:xVal>
          <c:yVal>
            <c:numRef>
              <c:f>Active!$N$21:$N$997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2E7-43C3-B11A-EF7E7DBC9F8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-4289</c:v>
                </c:pt>
                <c:pt idx="1">
                  <c:v>-4256</c:v>
                </c:pt>
                <c:pt idx="2">
                  <c:v>-4242.5</c:v>
                </c:pt>
                <c:pt idx="3">
                  <c:v>-4226</c:v>
                </c:pt>
                <c:pt idx="4">
                  <c:v>-4226</c:v>
                </c:pt>
                <c:pt idx="5">
                  <c:v>-2613</c:v>
                </c:pt>
                <c:pt idx="6">
                  <c:v>-2613</c:v>
                </c:pt>
                <c:pt idx="7">
                  <c:v>-2511</c:v>
                </c:pt>
                <c:pt idx="8">
                  <c:v>-2494.5</c:v>
                </c:pt>
                <c:pt idx="9">
                  <c:v>-2478</c:v>
                </c:pt>
                <c:pt idx="10">
                  <c:v>0</c:v>
                </c:pt>
                <c:pt idx="11">
                  <c:v>2365</c:v>
                </c:pt>
                <c:pt idx="12">
                  <c:v>2399.5</c:v>
                </c:pt>
              </c:numCache>
            </c:numRef>
          </c:xVal>
          <c:yVal>
            <c:numRef>
              <c:f>Active!$O$21:$O$997</c:f>
              <c:numCache>
                <c:formatCode>General</c:formatCode>
                <c:ptCount val="977"/>
                <c:pt idx="0">
                  <c:v>5.382663343288735E-2</c:v>
                </c:pt>
                <c:pt idx="1">
                  <c:v>5.3416228388505349E-2</c:v>
                </c:pt>
                <c:pt idx="2">
                  <c:v>5.3248335415803635E-2</c:v>
                </c:pt>
                <c:pt idx="3">
                  <c:v>5.3043132893612635E-2</c:v>
                </c:pt>
                <c:pt idx="4">
                  <c:v>5.3043132893612635E-2</c:v>
                </c:pt>
                <c:pt idx="5">
                  <c:v>3.2983031784880615E-2</c:v>
                </c:pt>
                <c:pt idx="6">
                  <c:v>3.2983031784880615E-2</c:v>
                </c:pt>
                <c:pt idx="7">
                  <c:v>3.1714507102245354E-2</c:v>
                </c:pt>
                <c:pt idx="8">
                  <c:v>3.1509304580054354E-2</c:v>
                </c:pt>
                <c:pt idx="9">
                  <c:v>3.130410205786336E-2</c:v>
                </c:pt>
                <c:pt idx="10">
                  <c:v>4.8641417972452097E-4</c:v>
                </c:pt>
                <c:pt idx="11">
                  <c:v>-2.89259473343184E-2</c:v>
                </c:pt>
                <c:pt idx="12">
                  <c:v>-2.935500715344503E-2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2E7-43C3-B11A-EF7E7DBC9F85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-4289</c:v>
                </c:pt>
                <c:pt idx="1">
                  <c:v>-4256</c:v>
                </c:pt>
                <c:pt idx="2">
                  <c:v>-4242.5</c:v>
                </c:pt>
                <c:pt idx="3">
                  <c:v>-4226</c:v>
                </c:pt>
                <c:pt idx="4">
                  <c:v>-4226</c:v>
                </c:pt>
                <c:pt idx="5">
                  <c:v>-2613</c:v>
                </c:pt>
                <c:pt idx="6">
                  <c:v>-2613</c:v>
                </c:pt>
                <c:pt idx="7">
                  <c:v>-2511</c:v>
                </c:pt>
                <c:pt idx="8">
                  <c:v>-2494.5</c:v>
                </c:pt>
                <c:pt idx="9">
                  <c:v>-2478</c:v>
                </c:pt>
                <c:pt idx="10">
                  <c:v>0</c:v>
                </c:pt>
                <c:pt idx="11">
                  <c:v>2365</c:v>
                </c:pt>
                <c:pt idx="12">
                  <c:v>2399.5</c:v>
                </c:pt>
              </c:numCache>
            </c:numRef>
          </c:xVal>
          <c:yVal>
            <c:numRef>
              <c:f>Active!$R$21:$R$997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2E7-43C3-B11A-EF7E7DBC9F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129936"/>
        <c:axId val="1"/>
      </c:scatterChart>
      <c:valAx>
        <c:axId val="52212993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2212993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375366568914952"/>
          <c:w val="0.72030075187969922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400050</xdr:colOff>
      <xdr:row>0</xdr:row>
      <xdr:rowOff>0</xdr:rowOff>
    </xdr:from>
    <xdr:to>
      <xdr:col>17</xdr:col>
      <xdr:colOff>485775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F275CFA6-069C-CD7B-2BE5-D491372411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938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6" sqref="F6"/>
    </sheetView>
  </sheetViews>
  <sheetFormatPr defaultColWidth="10.28515625" defaultRowHeight="12.75" x14ac:dyDescent="0.2"/>
  <cols>
    <col min="1" max="1" width="16" customWidth="1"/>
    <col min="2" max="2" width="4.85546875" customWidth="1"/>
    <col min="3" max="3" width="11.85546875" customWidth="1"/>
    <col min="4" max="4" width="9.42578125" customWidth="1"/>
    <col min="5" max="5" width="11.14062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50</v>
      </c>
      <c r="E1" t="s">
        <v>41</v>
      </c>
    </row>
    <row r="2" spans="1:7" s="10" customFormat="1" ht="12.95" customHeight="1" x14ac:dyDescent="0.2">
      <c r="A2" s="10" t="s">
        <v>24</v>
      </c>
      <c r="B2" s="10" t="s">
        <v>42</v>
      </c>
      <c r="C2" s="11" t="s">
        <v>39</v>
      </c>
      <c r="D2" s="12" t="s">
        <v>43</v>
      </c>
      <c r="E2" s="3" t="s">
        <v>40</v>
      </c>
      <c r="F2" s="10" t="e">
        <v>#N/A</v>
      </c>
    </row>
    <row r="3" spans="1:7" s="10" customFormat="1" ht="12.95" customHeight="1" thickBot="1" x14ac:dyDescent="0.25"/>
    <row r="4" spans="1:7" s="10" customFormat="1" ht="12.95" customHeight="1" thickTop="1" thickBot="1" x14ac:dyDescent="0.25">
      <c r="A4" s="13" t="s">
        <v>0</v>
      </c>
      <c r="C4" s="14" t="s">
        <v>38</v>
      </c>
      <c r="D4" s="15" t="s">
        <v>38</v>
      </c>
    </row>
    <row r="5" spans="1:7" s="10" customFormat="1" ht="12.95" customHeight="1" x14ac:dyDescent="0.2"/>
    <row r="6" spans="1:7" s="10" customFormat="1" ht="12.95" customHeight="1" x14ac:dyDescent="0.2">
      <c r="A6" s="13" t="s">
        <v>1</v>
      </c>
    </row>
    <row r="7" spans="1:7" s="10" customFormat="1" ht="12.95" customHeight="1" x14ac:dyDescent="0.2">
      <c r="A7" s="10" t="s">
        <v>2</v>
      </c>
      <c r="C7" s="38">
        <v>58235.884599999998</v>
      </c>
      <c r="D7" s="48" t="s">
        <v>44</v>
      </c>
    </row>
    <row r="8" spans="1:7" s="10" customFormat="1" ht="12.95" customHeight="1" x14ac:dyDescent="0.2">
      <c r="A8" s="10" t="s">
        <v>3</v>
      </c>
      <c r="C8" s="38">
        <v>0.66412020000000005</v>
      </c>
      <c r="D8" s="48" t="s">
        <v>44</v>
      </c>
    </row>
    <row r="9" spans="1:7" s="10" customFormat="1" ht="12.95" customHeight="1" x14ac:dyDescent="0.2">
      <c r="A9" s="17" t="s">
        <v>30</v>
      </c>
      <c r="C9" s="18">
        <v>-9.5</v>
      </c>
      <c r="D9" s="10" t="s">
        <v>31</v>
      </c>
    </row>
    <row r="10" spans="1:7" s="10" customFormat="1" ht="12.95" customHeight="1" thickBot="1" x14ac:dyDescent="0.25">
      <c r="C10" s="19" t="s">
        <v>20</v>
      </c>
      <c r="D10" s="19" t="s">
        <v>21</v>
      </c>
    </row>
    <row r="11" spans="1:7" s="10" customFormat="1" ht="12.95" customHeight="1" x14ac:dyDescent="0.2">
      <c r="A11" s="10" t="s">
        <v>15</v>
      </c>
      <c r="C11" s="20">
        <f ca="1">INTERCEPT(INDIRECT($G$11):G990,INDIRECT($F$11):F990)</f>
        <v>4.8641417972452097E-4</v>
      </c>
      <c r="D11" s="12"/>
      <c r="F11" s="21" t="str">
        <f>"F"&amp;E19</f>
        <v>F21</v>
      </c>
      <c r="G11" s="20" t="str">
        <f>"G"&amp;E19</f>
        <v>G21</v>
      </c>
    </row>
    <row r="12" spans="1:7" s="10" customFormat="1" ht="12.95" customHeight="1" x14ac:dyDescent="0.2">
      <c r="A12" s="10" t="s">
        <v>16</v>
      </c>
      <c r="C12" s="20">
        <f ca="1">SLOPE(INDIRECT($G$11):G990,INDIRECT($F$11):F990)</f>
        <v>-1.2436516496424068E-5</v>
      </c>
      <c r="D12" s="12"/>
      <c r="E12" s="42" t="s">
        <v>56</v>
      </c>
      <c r="F12" s="43" t="s">
        <v>55</v>
      </c>
    </row>
    <row r="13" spans="1:7" s="10" customFormat="1" ht="12.95" customHeight="1" x14ac:dyDescent="0.2">
      <c r="A13" s="10" t="s">
        <v>19</v>
      </c>
      <c r="C13" s="12" t="s">
        <v>13</v>
      </c>
      <c r="D13" s="22"/>
      <c r="E13" s="39" t="s">
        <v>35</v>
      </c>
      <c r="F13" s="44">
        <v>1</v>
      </c>
    </row>
    <row r="14" spans="1:7" s="10" customFormat="1" ht="12.95" customHeight="1" x14ac:dyDescent="0.2">
      <c r="D14" s="22"/>
      <c r="E14" s="39" t="s">
        <v>32</v>
      </c>
      <c r="F14" s="45">
        <f ca="1">NOW()+15018.5+$C$9/24</f>
        <v>60547.742176273146</v>
      </c>
    </row>
    <row r="15" spans="1:7" s="10" customFormat="1" ht="12.95" customHeight="1" x14ac:dyDescent="0.2">
      <c r="A15" s="23" t="s">
        <v>17</v>
      </c>
      <c r="C15" s="24">
        <f ca="1">(C7+C11)+(C8+C12)*INT(MAX(F21:F3531))</f>
        <v>59829.079611011104</v>
      </c>
      <c r="D15" s="22"/>
      <c r="E15" s="39" t="s">
        <v>36</v>
      </c>
      <c r="F15" s="45">
        <f ca="1">ROUND(2*($F$14-$C$7)/$C$8,0)/2+$F$13</f>
        <v>3482</v>
      </c>
    </row>
    <row r="16" spans="1:7" s="10" customFormat="1" ht="12.95" customHeight="1" x14ac:dyDescent="0.2">
      <c r="A16" s="13" t="s">
        <v>4</v>
      </c>
      <c r="C16" s="25">
        <f ca="1">+C8+C12</f>
        <v>0.66410776348350364</v>
      </c>
      <c r="D16" s="22"/>
      <c r="E16" s="39" t="s">
        <v>37</v>
      </c>
      <c r="F16" s="45">
        <f ca="1">ROUND(2*($F$14-$C$15)/$C$16,0)/2+$F$13</f>
        <v>1083</v>
      </c>
    </row>
    <row r="17" spans="1:19" s="10" customFormat="1" ht="12.95" customHeight="1" thickBot="1" x14ac:dyDescent="0.25">
      <c r="A17" s="22" t="s">
        <v>29</v>
      </c>
      <c r="C17" s="10">
        <f>COUNT(C21:C2189)</f>
        <v>13</v>
      </c>
      <c r="D17" s="22"/>
      <c r="E17" s="40" t="s">
        <v>53</v>
      </c>
      <c r="F17" s="46">
        <f ca="1">+$C$15+$C$16*$F$16-15018.5-$C$9/24</f>
        <v>45530.204152197075</v>
      </c>
    </row>
    <row r="18" spans="1:19" s="10" customFormat="1" ht="12.95" customHeight="1" thickTop="1" thickBot="1" x14ac:dyDescent="0.25">
      <c r="A18" s="13" t="s">
        <v>5</v>
      </c>
      <c r="C18" s="26">
        <f ca="1">+C15</f>
        <v>59829.079611011104</v>
      </c>
      <c r="D18" s="27">
        <f ca="1">+C16</f>
        <v>0.66410776348350364</v>
      </c>
      <c r="E18" s="41" t="s">
        <v>54</v>
      </c>
      <c r="F18" s="47">
        <f ca="1">+($C$15+$C$16*$F$16)-($C$16/2)-15018.5-$C$9/24</f>
        <v>45529.872098315333</v>
      </c>
    </row>
    <row r="19" spans="1:19" s="10" customFormat="1" ht="12.95" customHeight="1" thickTop="1" x14ac:dyDescent="0.2">
      <c r="A19" s="28" t="s">
        <v>33</v>
      </c>
      <c r="E19" s="29">
        <v>21</v>
      </c>
      <c r="S19" s="10">
        <f ca="1">SQRT(SUM(S21:S48)/(COUNT(S21:S48)-1))</f>
        <v>2.2998248870175781E-3</v>
      </c>
    </row>
    <row r="20" spans="1:19" s="10" customFormat="1" ht="12.95" customHeight="1" thickBot="1" x14ac:dyDescent="0.25">
      <c r="A20" s="19" t="s">
        <v>6</v>
      </c>
      <c r="B20" s="19" t="s">
        <v>7</v>
      </c>
      <c r="C20" s="19" t="s">
        <v>8</v>
      </c>
      <c r="D20" s="19" t="s">
        <v>12</v>
      </c>
      <c r="E20" s="19" t="s">
        <v>9</v>
      </c>
      <c r="F20" s="19" t="s">
        <v>10</v>
      </c>
      <c r="G20" s="19" t="s">
        <v>11</v>
      </c>
      <c r="H20" s="30" t="s">
        <v>44</v>
      </c>
      <c r="I20" s="30" t="s">
        <v>51</v>
      </c>
      <c r="J20" s="30" t="s">
        <v>18</v>
      </c>
      <c r="K20" s="30" t="s">
        <v>25</v>
      </c>
      <c r="L20" s="30" t="s">
        <v>26</v>
      </c>
      <c r="M20" s="30" t="s">
        <v>27</v>
      </c>
      <c r="N20" s="30" t="s">
        <v>28</v>
      </c>
      <c r="O20" s="30" t="s">
        <v>23</v>
      </c>
      <c r="P20" s="31" t="s">
        <v>22</v>
      </c>
      <c r="Q20" s="19" t="s">
        <v>14</v>
      </c>
      <c r="R20" s="32" t="s">
        <v>34</v>
      </c>
    </row>
    <row r="21" spans="1:19" s="10" customFormat="1" ht="12.95" customHeight="1" x14ac:dyDescent="0.2">
      <c r="A21" s="4" t="s">
        <v>45</v>
      </c>
      <c r="B21" s="5" t="s">
        <v>46</v>
      </c>
      <c r="C21" s="4">
        <v>55387.525600000001</v>
      </c>
      <c r="D21" s="4">
        <v>4.0000000000000002E-4</v>
      </c>
      <c r="E21" s="10">
        <f>+(C21-C$7)/C$8</f>
        <v>-4288.9208911278356</v>
      </c>
      <c r="F21" s="10">
        <f>ROUND(2*E21,0)/2</f>
        <v>-4289</v>
      </c>
      <c r="G21" s="10">
        <f>+C21-(C$7+F21*C$8)</f>
        <v>5.2537800002028234E-2</v>
      </c>
      <c r="I21" s="10">
        <f>+G21</f>
        <v>5.2537800002028234E-2</v>
      </c>
      <c r="O21" s="10">
        <f ca="1">+C$11+C$12*$F21</f>
        <v>5.382663343288735E-2</v>
      </c>
      <c r="Q21" s="33">
        <f>+C21-15018.5</f>
        <v>40369.025600000001</v>
      </c>
      <c r="S21" s="10">
        <f ca="1">+(O21-G21)^2</f>
        <v>1.6610916125000782E-6</v>
      </c>
    </row>
    <row r="22" spans="1:19" s="10" customFormat="1" ht="12.95" customHeight="1" x14ac:dyDescent="0.2">
      <c r="A22" s="4" t="s">
        <v>45</v>
      </c>
      <c r="B22" s="5" t="s">
        <v>46</v>
      </c>
      <c r="C22" s="4">
        <v>55409.441500000001</v>
      </c>
      <c r="D22" s="4">
        <v>4.0000000000000002E-4</v>
      </c>
      <c r="E22" s="10">
        <f>+(C22-C$7)/C$8</f>
        <v>-4255.9209914108869</v>
      </c>
      <c r="F22" s="10">
        <f>ROUND(2*E22,0)/2</f>
        <v>-4256</v>
      </c>
      <c r="G22" s="10">
        <f>+C22-(C$7+F22*C$8)</f>
        <v>5.2471200004220009E-2</v>
      </c>
      <c r="I22" s="10">
        <f>+G22</f>
        <v>5.2471200004220009E-2</v>
      </c>
      <c r="O22" s="10">
        <f ca="1">+C$11+C$12*$F22</f>
        <v>5.3416228388505349E-2</v>
      </c>
      <c r="Q22" s="33">
        <f>+C22-15018.5</f>
        <v>40390.941500000001</v>
      </c>
      <c r="S22" s="10">
        <f ca="1">+(O22-G22)^2</f>
        <v>8.9307864710496063E-7</v>
      </c>
    </row>
    <row r="23" spans="1:19" s="10" customFormat="1" ht="12.95" customHeight="1" x14ac:dyDescent="0.2">
      <c r="A23" s="4" t="s">
        <v>45</v>
      </c>
      <c r="B23" s="5" t="s">
        <v>46</v>
      </c>
      <c r="C23" s="4">
        <v>55418.407399999996</v>
      </c>
      <c r="D23" s="4">
        <v>5.9999999999999995E-4</v>
      </c>
      <c r="E23" s="10">
        <f>+(C23-C$7)/C$8</f>
        <v>-4242.4205738659975</v>
      </c>
      <c r="F23" s="10">
        <f>ROUND(2*E23,0)/2</f>
        <v>-4242.5</v>
      </c>
      <c r="G23" s="10">
        <f>+C23-(C$7+F23*C$8)</f>
        <v>5.2748499998415355E-2</v>
      </c>
      <c r="I23" s="10">
        <f>+G23</f>
        <v>5.2748499998415355E-2</v>
      </c>
      <c r="O23" s="10">
        <f ca="1">+C$11+C$12*$F23</f>
        <v>5.3248335415803635E-2</v>
      </c>
      <c r="Q23" s="33">
        <f>+C23-15018.5</f>
        <v>40399.907399999996</v>
      </c>
      <c r="S23" s="10">
        <f ca="1">+(O23-G23)^2</f>
        <v>2.4983544447571685E-7</v>
      </c>
    </row>
    <row r="24" spans="1:19" s="10" customFormat="1" ht="12.95" customHeight="1" x14ac:dyDescent="0.2">
      <c r="A24" s="4" t="s">
        <v>45</v>
      </c>
      <c r="B24" s="5" t="s">
        <v>46</v>
      </c>
      <c r="C24" s="4">
        <v>55429.3649</v>
      </c>
      <c r="D24" s="4">
        <v>2.9999999999999997E-4</v>
      </c>
      <c r="E24" s="10">
        <f>+(C24-C$7)/C$8</f>
        <v>-4225.9213015957002</v>
      </c>
      <c r="F24" s="10">
        <f>ROUND(2*E24,0)/2</f>
        <v>-4226</v>
      </c>
      <c r="G24" s="10">
        <f>+C24-(C$7+F24*C$8)</f>
        <v>5.2265199999965262E-2</v>
      </c>
      <c r="I24" s="10">
        <f>+G24</f>
        <v>5.2265199999965262E-2</v>
      </c>
      <c r="O24" s="10">
        <f ca="1">+C$11+C$12*$F24</f>
        <v>5.3043132893612635E-2</v>
      </c>
      <c r="Q24" s="33">
        <f>+C24-15018.5</f>
        <v>40410.8649</v>
      </c>
      <c r="S24" s="10">
        <f ca="1">+(O24-G24)^2</f>
        <v>6.0517958701857555E-7</v>
      </c>
    </row>
    <row r="25" spans="1:19" s="10" customFormat="1" ht="12.95" customHeight="1" x14ac:dyDescent="0.2">
      <c r="A25" s="36" t="s">
        <v>52</v>
      </c>
      <c r="B25" s="37" t="s">
        <v>46</v>
      </c>
      <c r="C25" s="36">
        <v>55429.365599999997</v>
      </c>
      <c r="D25" s="36">
        <v>4.1999999999999997E-3</v>
      </c>
      <c r="E25" s="10">
        <f>+(C25-C$7)/C$8</f>
        <v>-4225.920247569642</v>
      </c>
      <c r="F25" s="10">
        <f t="shared" ref="F25:F33" si="0">ROUND(2*E25,0)/2</f>
        <v>-4226</v>
      </c>
      <c r="G25" s="10">
        <f>+C25-(C$7+F25*C$8)</f>
        <v>5.296519999683369E-2</v>
      </c>
      <c r="I25" s="10">
        <f>+G25</f>
        <v>5.296519999683369E-2</v>
      </c>
      <c r="O25" s="10">
        <f ca="1">+C$11+C$12*$F25</f>
        <v>5.3043132893612635E-2</v>
      </c>
      <c r="Q25" s="33">
        <f>+C25-15018.5</f>
        <v>40410.865599999997</v>
      </c>
      <c r="S25" s="10">
        <f ca="1">+(O25-G25)^2</f>
        <v>6.073536400357781E-9</v>
      </c>
    </row>
    <row r="26" spans="1:19" s="10" customFormat="1" ht="12.95" customHeight="1" x14ac:dyDescent="0.2">
      <c r="A26" s="36" t="s">
        <v>52</v>
      </c>
      <c r="B26" s="37" t="s">
        <v>46</v>
      </c>
      <c r="C26" s="36">
        <v>56500.570699999997</v>
      </c>
      <c r="D26" s="36">
        <v>5.5999999999999999E-3</v>
      </c>
      <c r="E26" s="10">
        <f>+(C26-C$7)/C$8</f>
        <v>-2612.9515410011636</v>
      </c>
      <c r="F26" s="10">
        <f t="shared" si="0"/>
        <v>-2613</v>
      </c>
      <c r="G26" s="10">
        <f>+C26-(C$7+F26*C$8)</f>
        <v>3.2182599999941885E-2</v>
      </c>
      <c r="I26" s="10">
        <f>+G26</f>
        <v>3.2182599999941885E-2</v>
      </c>
      <c r="O26" s="10">
        <f ca="1">+C$11+C$12*$F26</f>
        <v>3.2983031784880615E-2</v>
      </c>
      <c r="Q26" s="33">
        <f>+C26-15018.5</f>
        <v>41482.070699999997</v>
      </c>
      <c r="S26" s="10">
        <f ca="1">+(O26-G26)^2</f>
        <v>6.4069104234020027E-7</v>
      </c>
    </row>
    <row r="27" spans="1:19" s="10" customFormat="1" ht="12.95" customHeight="1" x14ac:dyDescent="0.2">
      <c r="A27" s="34" t="s">
        <v>47</v>
      </c>
      <c r="B27" s="35" t="s">
        <v>46</v>
      </c>
      <c r="C27" s="34">
        <v>56500.571400000001</v>
      </c>
      <c r="D27" s="34">
        <v>1E-3</v>
      </c>
      <c r="E27" s="10">
        <f>+(C27-C$7)/C$8</f>
        <v>-2612.950486975094</v>
      </c>
      <c r="F27" s="10">
        <f t="shared" si="0"/>
        <v>-2613</v>
      </c>
      <c r="G27" s="10">
        <f>+C27-(C$7+F27*C$8)</f>
        <v>3.2882600004086271E-2</v>
      </c>
      <c r="I27" s="10">
        <f>+G27</f>
        <v>3.2882600004086271E-2</v>
      </c>
      <c r="O27" s="10">
        <f ca="1">+C$11+C$12*$F27</f>
        <v>3.2983031784880615E-2</v>
      </c>
      <c r="Q27" s="33">
        <f>+C27-15018.5</f>
        <v>41482.071400000001</v>
      </c>
      <c r="S27" s="10">
        <f ca="1">+(O27-G27)^2</f>
        <v>1.0086542593523144E-8</v>
      </c>
    </row>
    <row r="28" spans="1:19" s="10" customFormat="1" ht="12.95" customHeight="1" x14ac:dyDescent="0.2">
      <c r="A28" s="36" t="s">
        <v>52</v>
      </c>
      <c r="B28" s="37" t="s">
        <v>46</v>
      </c>
      <c r="C28" s="36">
        <v>56568.309500000003</v>
      </c>
      <c r="D28" s="36">
        <v>3.5000000000000001E-3</v>
      </c>
      <c r="E28" s="10">
        <f>+(C28-C$7)/C$8</f>
        <v>-2510.953740000672</v>
      </c>
      <c r="F28" s="10">
        <f t="shared" si="0"/>
        <v>-2511</v>
      </c>
      <c r="G28" s="10">
        <f>+C28-(C$7+F28*C$8)</f>
        <v>3.072220000467496E-2</v>
      </c>
      <c r="I28" s="10">
        <f>+G28</f>
        <v>3.072220000467496E-2</v>
      </c>
      <c r="O28" s="10">
        <f ca="1">+C$11+C$12*$F28</f>
        <v>3.1714507102245354E-2</v>
      </c>
      <c r="Q28" s="33">
        <f>+C28-15018.5</f>
        <v>41549.809500000003</v>
      </c>
      <c r="S28" s="10">
        <f ca="1">+(O28-G28)^2</f>
        <v>9.8467337588857944E-7</v>
      </c>
    </row>
    <row r="29" spans="1:19" s="10" customFormat="1" ht="12.95" customHeight="1" x14ac:dyDescent="0.2">
      <c r="A29" s="6" t="s">
        <v>48</v>
      </c>
      <c r="B29" s="7" t="s">
        <v>49</v>
      </c>
      <c r="C29" s="8">
        <v>56579.268199999999</v>
      </c>
      <c r="D29" s="9">
        <v>4.8999999999999998E-3</v>
      </c>
      <c r="E29" s="10">
        <f>+(C29-C$7)/C$8</f>
        <v>-2494.4526608285651</v>
      </c>
      <c r="F29" s="10">
        <f t="shared" si="0"/>
        <v>-2494.5</v>
      </c>
      <c r="G29" s="10">
        <f>+C29-(C$7+F29*C$8)</f>
        <v>3.143889999773819E-2</v>
      </c>
      <c r="I29" s="10">
        <f>+G29</f>
        <v>3.143889999773819E-2</v>
      </c>
      <c r="O29" s="10">
        <f ca="1">+C$11+C$12*$F29</f>
        <v>3.1509304580054354E-2</v>
      </c>
      <c r="Q29" s="33">
        <f>+C29-15018.5</f>
        <v>41560.768199999999</v>
      </c>
      <c r="S29" s="10">
        <f ca="1">+(O29-G29)^2</f>
        <v>4.9568052111134628E-9</v>
      </c>
    </row>
    <row r="30" spans="1:19" s="10" customFormat="1" ht="12.95" customHeight="1" x14ac:dyDescent="0.2">
      <c r="A30" s="6" t="s">
        <v>48</v>
      </c>
      <c r="B30" s="7" t="s">
        <v>46</v>
      </c>
      <c r="C30" s="8">
        <v>56590.233200000002</v>
      </c>
      <c r="D30" s="9">
        <v>8.3000000000000001E-3</v>
      </c>
      <c r="E30" s="10">
        <f>+(C30-C$7)/C$8</f>
        <v>-2477.9420954218754</v>
      </c>
      <c r="F30" s="10">
        <f t="shared" si="0"/>
        <v>-2478</v>
      </c>
      <c r="G30" s="10">
        <f>+C30-(C$7+F30*C$8)</f>
        <v>3.8455600006273016E-2</v>
      </c>
      <c r="I30" s="10">
        <f>+G30</f>
        <v>3.8455600006273016E-2</v>
      </c>
      <c r="O30" s="10">
        <f ca="1">+C$11+C$12*$F30</f>
        <v>3.130410205786336E-2</v>
      </c>
      <c r="Q30" s="33">
        <f>+C30-15018.5</f>
        <v>41571.733200000002</v>
      </c>
      <c r="S30" s="10">
        <f ca="1">+(O30-G30)^2</f>
        <v>5.1143922906107522E-5</v>
      </c>
    </row>
    <row r="31" spans="1:19" s="10" customFormat="1" ht="12.95" customHeight="1" x14ac:dyDescent="0.2">
      <c r="A31" s="10" t="str">
        <f>$D$7</f>
        <v>VSX</v>
      </c>
      <c r="C31" s="16">
        <f>$C$7</f>
        <v>58235.884599999998</v>
      </c>
      <c r="D31" s="16"/>
      <c r="E31" s="10">
        <f>+(C31-C$7)/C$8</f>
        <v>0</v>
      </c>
      <c r="F31" s="10">
        <f t="shared" si="0"/>
        <v>0</v>
      </c>
      <c r="G31" s="10">
        <f>+C31-(C$7+F31*C$8)</f>
        <v>0</v>
      </c>
      <c r="H31" s="10">
        <f>+G31</f>
        <v>0</v>
      </c>
      <c r="O31" s="10">
        <f ca="1">+C$11+C$12*$F31</f>
        <v>4.8641417972452097E-4</v>
      </c>
      <c r="Q31" s="33">
        <f>+C31-15018.5</f>
        <v>43217.384599999998</v>
      </c>
      <c r="S31" s="10">
        <f ca="1">+(O31-G31)^2</f>
        <v>2.3659875423707859E-7</v>
      </c>
    </row>
    <row r="32" spans="1:19" s="10" customFormat="1" ht="12.95" customHeight="1" x14ac:dyDescent="0.2">
      <c r="A32" s="6" t="s">
        <v>48</v>
      </c>
      <c r="B32" s="7" t="s">
        <v>46</v>
      </c>
      <c r="C32" s="8">
        <v>59806.497600000002</v>
      </c>
      <c r="D32" s="9">
        <v>3.5000000000000001E-3</v>
      </c>
      <c r="E32" s="10">
        <f>+(C32-C$7)/C$8</f>
        <v>2364.9529106327509</v>
      </c>
      <c r="F32" s="10">
        <f t="shared" si="0"/>
        <v>2365</v>
      </c>
      <c r="G32" s="10">
        <f>+C32-(C$7+F32*C$8)</f>
        <v>-3.1272999993234407E-2</v>
      </c>
      <c r="I32" s="10">
        <f>+G32</f>
        <v>-3.1272999993234407E-2</v>
      </c>
      <c r="O32" s="10">
        <f ca="1">+C$11+C$12*$F32</f>
        <v>-2.89259473343184E-2</v>
      </c>
      <c r="Q32" s="33">
        <f>+C32-15018.5</f>
        <v>44787.997600000002</v>
      </c>
      <c r="S32" s="10">
        <f ca="1">+(O32-G32)^2</f>
        <v>5.5086561837246996E-6</v>
      </c>
    </row>
    <row r="33" spans="1:19" s="10" customFormat="1" ht="12.95" customHeight="1" x14ac:dyDescent="0.2">
      <c r="A33" s="6" t="s">
        <v>48</v>
      </c>
      <c r="B33" s="7" t="s">
        <v>46</v>
      </c>
      <c r="C33" s="8">
        <v>59829.412900000003</v>
      </c>
      <c r="D33" s="9">
        <v>3.5000000000000001E-3</v>
      </c>
      <c r="E33" s="10">
        <f>+(C33-C$7)/C$8</f>
        <v>2399.4576584178667</v>
      </c>
      <c r="F33" s="10">
        <f t="shared" si="0"/>
        <v>2399.5</v>
      </c>
      <c r="G33" s="10">
        <f>+C33-(C$7+F33*C$8)</f>
        <v>-2.8119899994635489E-2</v>
      </c>
      <c r="I33" s="10">
        <f>+G33</f>
        <v>-2.8119899994635489E-2</v>
      </c>
      <c r="O33" s="10">
        <f ca="1">+C$11+C$12*$F33</f>
        <v>-2.935500715344503E-2</v>
      </c>
      <c r="Q33" s="33">
        <f>+C33-15018.5</f>
        <v>44810.912900000003</v>
      </c>
      <c r="S33" s="10">
        <f ca="1">+(O33-G33)^2</f>
        <v>1.5254896937425769E-6</v>
      </c>
    </row>
    <row r="34" spans="1:19" s="10" customFormat="1" ht="12.95" customHeight="1" x14ac:dyDescent="0.2">
      <c r="C34" s="16"/>
      <c r="D34" s="16"/>
    </row>
    <row r="35" spans="1:19" s="10" customFormat="1" ht="12.95" customHeight="1" x14ac:dyDescent="0.2">
      <c r="C35" s="16"/>
      <c r="D35" s="16"/>
    </row>
    <row r="36" spans="1:19" s="10" customFormat="1" ht="12.95" customHeight="1" x14ac:dyDescent="0.2">
      <c r="C36" s="16"/>
      <c r="D36" s="16"/>
    </row>
    <row r="37" spans="1:19" s="10" customFormat="1" ht="12.95" customHeight="1" x14ac:dyDescent="0.2">
      <c r="C37" s="16"/>
      <c r="D37" s="16"/>
    </row>
    <row r="38" spans="1:19" s="10" customFormat="1" ht="12.95" customHeight="1" x14ac:dyDescent="0.2">
      <c r="C38" s="16"/>
      <c r="D38" s="16"/>
    </row>
    <row r="39" spans="1:19" s="10" customFormat="1" ht="12.95" customHeight="1" x14ac:dyDescent="0.2">
      <c r="C39" s="16"/>
      <c r="D39" s="16"/>
    </row>
    <row r="40" spans="1:19" s="10" customFormat="1" ht="12.95" customHeight="1" x14ac:dyDescent="0.2">
      <c r="C40" s="16"/>
      <c r="D40" s="16"/>
    </row>
    <row r="41" spans="1:19" s="10" customFormat="1" ht="12.95" customHeight="1" x14ac:dyDescent="0.2">
      <c r="C41" s="16"/>
      <c r="D41" s="16"/>
    </row>
    <row r="42" spans="1:19" s="10" customFormat="1" ht="12.95" customHeight="1" x14ac:dyDescent="0.2">
      <c r="C42" s="16"/>
      <c r="D42" s="16"/>
    </row>
    <row r="43" spans="1:19" s="10" customFormat="1" ht="12.95" customHeight="1" x14ac:dyDescent="0.2">
      <c r="C43" s="16"/>
      <c r="D43" s="16"/>
    </row>
    <row r="44" spans="1:19" x14ac:dyDescent="0.2">
      <c r="C44" s="2"/>
      <c r="D44" s="2"/>
    </row>
    <row r="45" spans="1:19" x14ac:dyDescent="0.2">
      <c r="C45" s="2"/>
      <c r="D45" s="2"/>
    </row>
    <row r="46" spans="1:19" x14ac:dyDescent="0.2">
      <c r="C46" s="2"/>
      <c r="D46" s="2"/>
    </row>
    <row r="47" spans="1:19" x14ac:dyDescent="0.2">
      <c r="C47" s="2"/>
      <c r="D47" s="2"/>
    </row>
    <row r="48" spans="1:19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</sheetData>
  <sortState xmlns:xlrd2="http://schemas.microsoft.com/office/spreadsheetml/2017/richdata2" ref="A21:Z39">
    <sortCondition ref="C21:C39"/>
  </sortState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2024-08-25T05:48:44Z</dcterms:modified>
</cp:coreProperties>
</file>