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56EE262E-6D78-4D43-8AEF-56A5E730AADA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1" i="1" l="1"/>
  <c r="G11" i="1"/>
  <c r="E14" i="1"/>
  <c r="E15" i="1" s="1"/>
  <c r="A21" i="1"/>
  <c r="H20" i="1"/>
  <c r="C21" i="1"/>
  <c r="C17" i="1"/>
  <c r="E22" i="1"/>
  <c r="F22" i="1"/>
  <c r="G22" i="1"/>
  <c r="I22" i="1"/>
  <c r="Q22" i="1"/>
  <c r="E23" i="1"/>
  <c r="F23" i="1"/>
  <c r="G23" i="1"/>
  <c r="I23" i="1"/>
  <c r="Q23" i="1"/>
  <c r="E24" i="1"/>
  <c r="F24" i="1"/>
  <c r="G24" i="1"/>
  <c r="I24" i="1"/>
  <c r="Q24" i="1"/>
  <c r="Q21" i="1"/>
  <c r="G21" i="1"/>
  <c r="H21" i="1"/>
  <c r="E21" i="1"/>
  <c r="F21" i="1"/>
  <c r="C12" i="1"/>
  <c r="C16" i="1" l="1"/>
  <c r="D18" i="1" s="1"/>
  <c r="C11" i="1"/>
  <c r="O22" i="1" l="1"/>
  <c r="S22" i="1" s="1"/>
  <c r="O21" i="1"/>
  <c r="S21" i="1" s="1"/>
  <c r="O23" i="1"/>
  <c r="S23" i="1" s="1"/>
  <c r="O24" i="1"/>
  <c r="S24" i="1" s="1"/>
  <c r="C15" i="1"/>
  <c r="E16" i="1" l="1"/>
  <c r="E17" i="1" s="1"/>
  <c r="C18" i="1"/>
  <c r="S19" i="1"/>
</calcChain>
</file>

<file path=xl/sharedStrings.xml><?xml version="1.0" encoding="utf-8"?>
<sst xmlns="http://schemas.openxmlformats.org/spreadsheetml/2006/main" count="58" uniqueCount="53">
  <si>
    <t>G5384-0975_Mon.xls</t>
  </si>
  <si>
    <t>System Type:</t>
  </si>
  <si>
    <t>EC</t>
  </si>
  <si>
    <t>Constell:</t>
  </si>
  <si>
    <t>Mon</t>
  </si>
  <si>
    <t>G5384-0975</t>
  </si>
  <si>
    <t>GCVS 4 Eph.</t>
  </si>
  <si>
    <t>not avail.</t>
  </si>
  <si>
    <t>--- Working ----</t>
  </si>
  <si>
    <t>Epoch =</t>
  </si>
  <si>
    <t>VSX</t>
  </si>
  <si>
    <t>Period =</t>
  </si>
  <si>
    <t>My time zone &gt;&gt;&gt;&gt;&gt;</t>
  </si>
  <si>
    <t>(PST=8, PDT=MDT=7, MDT=CST=6, etc.)</t>
  </si>
  <si>
    <t>Linear</t>
  </si>
  <si>
    <t>Quadratic</t>
  </si>
  <si>
    <t>LS Intercept =</t>
  </si>
  <si>
    <t>LS Slope =</t>
  </si>
  <si>
    <t>LS Quadr term =</t>
  </si>
  <si>
    <t>na</t>
  </si>
  <si>
    <t>Add cycle</t>
  </si>
  <si>
    <t>JD today</t>
  </si>
  <si>
    <t>New epoch =</t>
  </si>
  <si>
    <t>Old Cycle</t>
  </si>
  <si>
    <t>New Period =</t>
  </si>
  <si>
    <t>New Cycle</t>
  </si>
  <si>
    <t># of data points:</t>
  </si>
  <si>
    <t>Next ToM</t>
  </si>
  <si>
    <t>New Ephemeris =</t>
  </si>
  <si>
    <t>Local time</t>
  </si>
  <si>
    <t>Start of linear fit &gt;&gt;&gt;&gt;&gt;&gt;&gt;&gt;&gt;&gt;&gt;&gt;&gt;&gt;&gt;&gt;&gt;&gt;&gt;&gt;&gt;</t>
  </si>
  <si>
    <t>Source</t>
  </si>
  <si>
    <t>Typ</t>
  </si>
  <si>
    <t>ToM</t>
  </si>
  <si>
    <t>error</t>
  </si>
  <si>
    <t>n'</t>
  </si>
  <si>
    <t>n</t>
  </si>
  <si>
    <t>O-C</t>
  </si>
  <si>
    <t>S3</t>
  </si>
  <si>
    <t>S4</t>
  </si>
  <si>
    <t>S5</t>
  </si>
  <si>
    <t>S6</t>
  </si>
  <si>
    <t>Misc</t>
  </si>
  <si>
    <t>Lin Fit</t>
  </si>
  <si>
    <t>Q. Fit</t>
  </si>
  <si>
    <t>Date</t>
  </si>
  <si>
    <t>BAD</t>
  </si>
  <si>
    <t>IBVS 5960</t>
  </si>
  <si>
    <t>II</t>
  </si>
  <si>
    <t>IBVS 6011</t>
  </si>
  <si>
    <t>OEJV 0211</t>
  </si>
  <si>
    <t>V0984 Mon / GSC 5384-0975</t>
  </si>
  <si>
    <t>CCD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</si>
</sst>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\$#,##0_);&quot;($&quot;#,##0\)"/>
    <numFmt numFmtId="165" formatCode="m/d/yyyy\ h:mm"/>
    <numFmt numFmtId="166" formatCode="m/d/yyyy"/>
  </numFmts>
  <fonts count="11" x14ac:knownFonts="1">
    <font>
      <sz val="10"/>
      <name val="Arial"/>
      <family val="2"/>
    </font>
    <font>
      <sz val="16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1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4"/>
        <bgColor indexed="49"/>
      </patternFill>
    </fill>
  </fills>
  <borders count="4">
    <border>
      <left/>
      <right/>
      <top/>
      <bottom/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/>
      <bottom style="medium">
        <color indexed="8"/>
      </bottom>
      <diagonal/>
    </border>
  </borders>
  <cellStyleXfs count="6">
    <xf numFmtId="0" fontId="0" fillId="0" borderId="0">
      <alignment vertical="top"/>
    </xf>
    <xf numFmtId="3" fontId="10" fillId="0" borderId="0" applyFill="0" applyBorder="0" applyProtection="0">
      <alignment vertical="top"/>
    </xf>
    <xf numFmtId="164" fontId="10" fillId="0" borderId="0" applyFill="0" applyBorder="0" applyProtection="0">
      <alignment vertical="top"/>
    </xf>
    <xf numFmtId="0" fontId="10" fillId="0" borderId="0" applyFill="0" applyBorder="0" applyProtection="0">
      <alignment vertical="top"/>
    </xf>
    <xf numFmtId="2" fontId="10" fillId="0" borderId="0" applyFill="0" applyBorder="0" applyProtection="0">
      <alignment vertical="top"/>
    </xf>
    <xf numFmtId="0" fontId="10" fillId="0" borderId="0"/>
  </cellStyleXfs>
  <cellXfs count="35">
    <xf numFmtId="0" fontId="0" fillId="0" borderId="0" xfId="0">
      <alignment vertical="top"/>
    </xf>
    <xf numFmtId="0" fontId="0" fillId="0" borderId="0" xfId="0" applyAlignment="1"/>
    <xf numFmtId="0" fontId="1" fillId="0" borderId="0" xfId="0" applyFont="1" applyAlignment="1"/>
    <xf numFmtId="0" fontId="2" fillId="0" borderId="0" xfId="0" applyFont="1" applyAlignment="1">
      <alignment horizontal="right"/>
    </xf>
    <xf numFmtId="0" fontId="0" fillId="0" borderId="0" xfId="0" applyFont="1" applyAlignment="1">
      <alignment horizontal="center"/>
    </xf>
    <xf numFmtId="0" fontId="3" fillId="2" borderId="0" xfId="0" applyFont="1" applyFill="1" applyAlignment="1">
      <alignment vertical="center"/>
    </xf>
    <xf numFmtId="0" fontId="4" fillId="0" borderId="0" xfId="0" applyFont="1" applyAlignment="1"/>
    <xf numFmtId="0" fontId="0" fillId="0" borderId="1" xfId="0" applyFont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5" fillId="0" borderId="0" xfId="0" applyFont="1">
      <alignment vertical="top"/>
    </xf>
    <xf numFmtId="0" fontId="6" fillId="0" borderId="0" xfId="0" applyFont="1">
      <alignment vertical="top"/>
    </xf>
    <xf numFmtId="0" fontId="0" fillId="0" borderId="3" xfId="0" applyFont="1" applyBorder="1" applyAlignment="1">
      <alignment horizontal="center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2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165" fontId="7" fillId="0" borderId="0" xfId="0" applyNumberFormat="1" applyFont="1">
      <alignment vertical="top"/>
    </xf>
    <xf numFmtId="0" fontId="0" fillId="0" borderId="1" xfId="0" applyBorder="1">
      <alignment vertical="top"/>
    </xf>
    <xf numFmtId="0" fontId="0" fillId="0" borderId="2" xfId="0" applyBorder="1">
      <alignment vertical="top"/>
    </xf>
    <xf numFmtId="0" fontId="7" fillId="0" borderId="0" xfId="0" applyFont="1" applyAlignment="1">
      <alignment horizontal="right"/>
    </xf>
    <xf numFmtId="0" fontId="2" fillId="0" borderId="0" xfId="0" applyFont="1" applyAlignment="1">
      <alignment vertical="top"/>
    </xf>
    <xf numFmtId="0" fontId="6" fillId="0" borderId="0" xfId="0" applyFont="1" applyAlignment="1">
      <alignment horizontal="left"/>
    </xf>
    <xf numFmtId="0" fontId="4" fillId="0" borderId="3" xfId="0" applyFont="1" applyBorder="1" applyAlignment="1">
      <alignment horizontal="center"/>
    </xf>
    <xf numFmtId="0" fontId="8" fillId="0" borderId="3" xfId="0" applyFont="1" applyFill="1" applyBorder="1" applyAlignment="1">
      <alignment horizontal="center"/>
    </xf>
    <xf numFmtId="166" fontId="0" fillId="0" borderId="0" xfId="0" applyNumberFormat="1" applyAlignment="1"/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9" fillId="0" borderId="0" xfId="5" applyFont="1"/>
    <xf numFmtId="0" fontId="9" fillId="0" borderId="0" xfId="5" applyFont="1" applyAlignment="1">
      <alignment horizontal="center"/>
    </xf>
    <xf numFmtId="0" fontId="9" fillId="0" borderId="0" xfId="5" applyFont="1" applyAlignment="1">
      <alignment horizontal="left"/>
    </xf>
    <xf numFmtId="0" fontId="0" fillId="0" borderId="0" xfId="0" applyAlignment="1">
      <alignment horizontal="right"/>
    </xf>
  </cellXfs>
  <cellStyles count="6">
    <cellStyle name="Comma0" xfId="1"/>
    <cellStyle name="Currency0" xfId="2"/>
    <cellStyle name="Date" xfId="3"/>
    <cellStyle name="Fixed" xfId="4"/>
    <cellStyle name="Normal" xfId="0" builtinId="0"/>
    <cellStyle name="Normal_A" xf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999933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69FF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V0984 Mon - O-C Diagr.</a:t>
            </a:r>
          </a:p>
        </c:rich>
      </c:tx>
      <c:layout>
        <c:manualLayout>
          <c:xMode val="edge"/>
          <c:yMode val="edge"/>
          <c:x val="0.33729600293276862"/>
          <c:y val="4.50450450450450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64497719296845"/>
          <c:y val="0.2372379329659727"/>
          <c:w val="0.81426507814319493"/>
          <c:h val="0.54955116117434188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Active!$H$21:$H$24</c:f>
              <c:numCache>
                <c:formatCode>General</c:formatCode>
                <c:ptCount val="4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716-450C-A67C-1ABA89CDCE4B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Active!$I$21:$I$24</c:f>
              <c:numCache>
                <c:formatCode>General</c:formatCode>
                <c:ptCount val="4"/>
                <c:pt idx="1">
                  <c:v>7.6179999014129862E-3</c:v>
                </c:pt>
                <c:pt idx="2">
                  <c:v>5.0819999014493078E-3</c:v>
                </c:pt>
                <c:pt idx="3">
                  <c:v>2.524000003177207E-3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716-450C-A67C-1ABA89CDCE4B}"/>
            </c:ext>
          </c:extLst>
        </c:ser>
        <c:ser>
          <c:idx val="2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999933"/>
              </a:solidFill>
              <a:ln>
                <a:solidFill>
                  <a:srgbClr val="999933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Active!$J$21:$J$24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716-450C-A67C-1ABA89CDCE4B}"/>
            </c:ext>
          </c:extLst>
        </c:ser>
        <c:ser>
          <c:idx val="3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Active!$K$21:$K$24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716-450C-A67C-1ABA89CDCE4B}"/>
            </c:ext>
          </c:extLst>
        </c:ser>
        <c:ser>
          <c:idx val="4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FF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Active!$L$21:$L$24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716-450C-A67C-1ABA89CDCE4B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Active!$M$21:$M$24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716-450C-A67C-1ABA89CDCE4B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Active!$N$21:$N$24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716-450C-A67C-1ABA89CDCE4B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Active!$O$21:$O$24</c:f>
              <c:numCache>
                <c:formatCode>General</c:formatCode>
                <c:ptCount val="4"/>
                <c:pt idx="0">
                  <c:v>8.4727677627591952E-3</c:v>
                </c:pt>
                <c:pt idx="1">
                  <c:v>6.7995665229378536E-3</c:v>
                </c:pt>
                <c:pt idx="2">
                  <c:v>6.0632226911481561E-3</c:v>
                </c:pt>
                <c:pt idx="3">
                  <c:v>2.3612105919534922E-3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716-450C-A67C-1ABA89CDCE4B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xVal>
            <c:numRef>
              <c:f>Active!$F$21:$F$24</c:f>
              <c:numCache>
                <c:formatCode>General</c:formatCode>
                <c:ptCount val="4"/>
                <c:pt idx="0">
                  <c:v>0</c:v>
                </c:pt>
                <c:pt idx="1">
                  <c:v>1731.5</c:v>
                </c:pt>
                <c:pt idx="2">
                  <c:v>2493.5</c:v>
                </c:pt>
                <c:pt idx="3">
                  <c:v>6324.5</c:v>
                </c:pt>
              </c:numCache>
            </c:numRef>
          </c:xVal>
          <c:yVal>
            <c:numRef>
              <c:f>Active!$R$21:$R$24</c:f>
              <c:numCache>
                <c:formatCode>General</c:formatCode>
                <c:ptCount val="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F716-450C-A67C-1ABA89CDCE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70512648"/>
        <c:axId val="1"/>
      </c:scatterChart>
      <c:valAx>
        <c:axId val="77051264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03151556278349"/>
              <c:y val="0.86787039007511446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At val="0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5.6463595839524518E-2"/>
              <c:y val="0.4204216815240437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70512648"/>
        <c:crossesAt val="0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9019332093146601"/>
          <c:y val="0.90090342310814753"/>
          <c:w val="0.72511190930257052"/>
          <c:h val="6.006037533596586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1180555555555551" footer="0.51180555555555551"/>
    <c:pageSetup firstPageNumber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16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DC98F06D-1CAF-E2C7-C0F1-FC51179CDE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5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style="1" customWidth="1"/>
    <col min="2" max="2" width="4.85546875" style="1" customWidth="1"/>
    <col min="3" max="3" width="11.85546875" style="1" customWidth="1"/>
    <col min="4" max="4" width="9.42578125" style="1" customWidth="1"/>
    <col min="5" max="5" width="16.42578125" style="1" customWidth="1"/>
    <col min="6" max="6" width="10.28515625" style="1"/>
    <col min="7" max="7" width="8.140625" style="1" customWidth="1"/>
    <col min="8" max="14" width="8.5703125" style="1" customWidth="1"/>
    <col min="15" max="15" width="8" style="1" customWidth="1"/>
    <col min="16" max="16" width="7.7109375" style="1" customWidth="1"/>
    <col min="17" max="17" width="9.85546875" style="1" customWidth="1"/>
    <col min="18" max="16384" width="10.28515625" style="1"/>
  </cols>
  <sheetData>
    <row r="1" spans="1:7" ht="20.25" x14ac:dyDescent="0.3">
      <c r="A1" s="2" t="s">
        <v>51</v>
      </c>
      <c r="E1" s="1" t="s">
        <v>0</v>
      </c>
    </row>
    <row r="2" spans="1:7" ht="12.95" customHeight="1" x14ac:dyDescent="0.2">
      <c r="A2" s="1" t="s">
        <v>1</v>
      </c>
      <c r="B2" s="1" t="s">
        <v>2</v>
      </c>
      <c r="C2" s="3" t="s">
        <v>3</v>
      </c>
      <c r="D2" s="4" t="s">
        <v>4</v>
      </c>
      <c r="E2" s="5" t="s">
        <v>5</v>
      </c>
      <c r="F2" s="1" t="e">
        <v>#N/A</v>
      </c>
    </row>
    <row r="3" spans="1:7" ht="12.95" customHeight="1" x14ac:dyDescent="0.2"/>
    <row r="4" spans="1:7" ht="12.95" customHeight="1" x14ac:dyDescent="0.2">
      <c r="A4" s="6" t="s">
        <v>6</v>
      </c>
      <c r="C4" s="7" t="s">
        <v>7</v>
      </c>
      <c r="D4" s="8" t="s">
        <v>7</v>
      </c>
    </row>
    <row r="5" spans="1:7" ht="12.95" customHeight="1" x14ac:dyDescent="0.2"/>
    <row r="6" spans="1:7" ht="12.95" customHeight="1" x14ac:dyDescent="0.2">
      <c r="A6" s="6" t="s">
        <v>8</v>
      </c>
      <c r="C6" s="34"/>
    </row>
    <row r="7" spans="1:7" ht="12.95" customHeight="1" x14ac:dyDescent="0.2">
      <c r="A7" s="1" t="s">
        <v>9</v>
      </c>
      <c r="C7" s="34">
        <v>54727.887000000104</v>
      </c>
      <c r="D7" s="10" t="s">
        <v>10</v>
      </c>
    </row>
    <row r="8" spans="1:7" ht="12.95" customHeight="1" x14ac:dyDescent="0.2">
      <c r="A8" s="1" t="s">
        <v>11</v>
      </c>
      <c r="C8" s="34">
        <v>0.47242800000000001</v>
      </c>
      <c r="D8" s="10" t="s">
        <v>10</v>
      </c>
    </row>
    <row r="9" spans="1:7" ht="12.95" customHeight="1" x14ac:dyDescent="0.2">
      <c r="A9" s="11" t="s">
        <v>12</v>
      </c>
      <c r="B9"/>
      <c r="C9" s="12">
        <v>-9.5</v>
      </c>
      <c r="D9" t="s">
        <v>13</v>
      </c>
      <c r="E9"/>
    </row>
    <row r="10" spans="1:7" ht="12.95" customHeight="1" x14ac:dyDescent="0.2">
      <c r="A10"/>
      <c r="B10"/>
      <c r="C10" s="13" t="s">
        <v>14</v>
      </c>
      <c r="D10" s="13" t="s">
        <v>15</v>
      </c>
      <c r="E10"/>
    </row>
    <row r="11" spans="1:7" ht="12.95" customHeight="1" x14ac:dyDescent="0.2">
      <c r="A11" t="s">
        <v>16</v>
      </c>
      <c r="B11"/>
      <c r="C11" s="14">
        <f ca="1">INTERCEPT(INDIRECT($G$11):G992,INDIRECT($F$11):F992)</f>
        <v>8.4727677627591952E-3</v>
      </c>
      <c r="D11" s="4"/>
      <c r="E11"/>
      <c r="F11" s="15" t="str">
        <f>"F"&amp;E19</f>
        <v>F22</v>
      </c>
      <c r="G11" s="16" t="str">
        <f>"G"&amp;E19</f>
        <v>G22</v>
      </c>
    </row>
    <row r="12" spans="1:7" ht="12.95" customHeight="1" x14ac:dyDescent="0.2">
      <c r="A12" t="s">
        <v>17</v>
      </c>
      <c r="B12"/>
      <c r="C12" s="14">
        <f ca="1">SLOPE(INDIRECT($G$11):G992,INDIRECT($F$11):F992)</f>
        <v>-9.6633048791298962E-7</v>
      </c>
      <c r="D12" s="4"/>
      <c r="E12"/>
    </row>
    <row r="13" spans="1:7" ht="12.95" customHeight="1" x14ac:dyDescent="0.2">
      <c r="A13" t="s">
        <v>18</v>
      </c>
      <c r="B13"/>
      <c r="C13" s="4" t="s">
        <v>19</v>
      </c>
      <c r="D13" s="17" t="s">
        <v>20</v>
      </c>
      <c r="E13" s="12">
        <v>1</v>
      </c>
    </row>
    <row r="14" spans="1:7" ht="12.95" customHeight="1" x14ac:dyDescent="0.2">
      <c r="A14"/>
      <c r="B14"/>
      <c r="C14"/>
      <c r="D14" s="17" t="s">
        <v>21</v>
      </c>
      <c r="E14" s="14">
        <f ca="1">NOW()+15018.5+$C$9/24</f>
        <v>60365.757213888886</v>
      </c>
    </row>
    <row r="15" spans="1:7" ht="12.95" customHeight="1" x14ac:dyDescent="0.2">
      <c r="A15" s="18" t="s">
        <v>22</v>
      </c>
      <c r="B15"/>
      <c r="C15" s="19">
        <f ca="1">(C7+C11)+(C8+C12)*INT(MAX(F21:F3533))</f>
        <v>57715.524033693859</v>
      </c>
      <c r="D15" s="17" t="s">
        <v>23</v>
      </c>
      <c r="E15" s="14">
        <f ca="1">ROUND(2*(E14-$C$7)/$C$8,0)/2+E13</f>
        <v>11935</v>
      </c>
    </row>
    <row r="16" spans="1:7" ht="12.95" customHeight="1" x14ac:dyDescent="0.2">
      <c r="A16" s="18" t="s">
        <v>24</v>
      </c>
      <c r="B16"/>
      <c r="C16" s="19">
        <f ca="1">+C8+C12</f>
        <v>0.47242703366951211</v>
      </c>
      <c r="D16" s="17" t="s">
        <v>25</v>
      </c>
      <c r="E16" s="16">
        <f ca="1">ROUND(2*(E14-$C$15)/$C$16,0)/2+E13</f>
        <v>5611</v>
      </c>
    </row>
    <row r="17" spans="1:19" ht="12.95" customHeight="1" x14ac:dyDescent="0.2">
      <c r="A17" s="17" t="s">
        <v>26</v>
      </c>
      <c r="B17"/>
      <c r="C17">
        <f>COUNT(C21:C2191)</f>
        <v>4</v>
      </c>
      <c r="D17" s="17" t="s">
        <v>27</v>
      </c>
      <c r="E17" s="20">
        <f ca="1">+$C$15+$C$16*E16-15018.5-$C$9/24</f>
        <v>45348.207952946825</v>
      </c>
    </row>
    <row r="18" spans="1:19" ht="12.95" customHeight="1" x14ac:dyDescent="0.2">
      <c r="A18" s="18" t="s">
        <v>28</v>
      </c>
      <c r="B18"/>
      <c r="C18" s="21">
        <f ca="1">+C15</f>
        <v>57715.524033693859</v>
      </c>
      <c r="D18" s="22">
        <f ca="1">+C16</f>
        <v>0.47242703366951211</v>
      </c>
      <c r="E18" s="23" t="s">
        <v>29</v>
      </c>
    </row>
    <row r="19" spans="1:19" ht="12.95" customHeight="1" x14ac:dyDescent="0.2">
      <c r="A19" s="24" t="s">
        <v>30</v>
      </c>
      <c r="E19" s="25">
        <v>22</v>
      </c>
      <c r="S19" s="1">
        <f ca="1">SQRT(SUM(S21:S50)/(COUNT(S21:S50)-1))</f>
        <v>4.9479600278661854E-3</v>
      </c>
    </row>
    <row r="20" spans="1:19" ht="12.95" customHeight="1" x14ac:dyDescent="0.2">
      <c r="A20" s="13" t="s">
        <v>31</v>
      </c>
      <c r="B20" s="13" t="s">
        <v>32</v>
      </c>
      <c r="C20" s="13" t="s">
        <v>33</v>
      </c>
      <c r="D20" s="13" t="s">
        <v>34</v>
      </c>
      <c r="E20" s="13" t="s">
        <v>35</v>
      </c>
      <c r="F20" s="13" t="s">
        <v>36</v>
      </c>
      <c r="G20" s="13" t="s">
        <v>37</v>
      </c>
      <c r="H20" s="26" t="str">
        <f>A21</f>
        <v>VSX</v>
      </c>
      <c r="I20" s="26" t="s">
        <v>52</v>
      </c>
      <c r="J20" s="26" t="s">
        <v>38</v>
      </c>
      <c r="K20" s="26" t="s">
        <v>39</v>
      </c>
      <c r="L20" s="26" t="s">
        <v>40</v>
      </c>
      <c r="M20" s="26" t="s">
        <v>41</v>
      </c>
      <c r="N20" s="26" t="s">
        <v>42</v>
      </c>
      <c r="O20" s="26" t="s">
        <v>43</v>
      </c>
      <c r="P20" s="26" t="s">
        <v>44</v>
      </c>
      <c r="Q20" s="13" t="s">
        <v>45</v>
      </c>
      <c r="R20" s="27" t="s">
        <v>46</v>
      </c>
    </row>
    <row r="21" spans="1:19" ht="12.95" customHeight="1" x14ac:dyDescent="0.2">
      <c r="A21" s="1" t="str">
        <f>D7</f>
        <v>VSX</v>
      </c>
      <c r="C21" s="9">
        <f>C$7</f>
        <v>54727.887000000104</v>
      </c>
      <c r="D21" s="9" t="s">
        <v>19</v>
      </c>
      <c r="E21" s="1">
        <f>+(C21-C$7)/C$8</f>
        <v>0</v>
      </c>
      <c r="F21" s="1">
        <f>ROUND(2*E21,0)/2</f>
        <v>0</v>
      </c>
      <c r="G21" s="1">
        <f>+C21-(C$7+F21*C$8)</f>
        <v>0</v>
      </c>
      <c r="H21" s="1">
        <f>+G21</f>
        <v>0</v>
      </c>
      <c r="O21" s="1">
        <f ca="1">+C$11+C$12*$F21</f>
        <v>8.4727677627591952E-3</v>
      </c>
      <c r="Q21" s="28">
        <f>+C21-15018.5</f>
        <v>39709.387000000104</v>
      </c>
      <c r="S21" s="1">
        <f ca="1">+(O21-G21)^2</f>
        <v>7.1787793561651459E-5</v>
      </c>
    </row>
    <row r="22" spans="1:19" ht="12.95" customHeight="1" x14ac:dyDescent="0.2">
      <c r="A22" s="29" t="s">
        <v>47</v>
      </c>
      <c r="B22" s="30" t="s">
        <v>48</v>
      </c>
      <c r="C22" s="29">
        <v>55545.903700000003</v>
      </c>
      <c r="D22" s="29">
        <v>2.0000000000000001E-4</v>
      </c>
      <c r="E22" s="1">
        <f>+(C22-C$7)/C$8</f>
        <v>1731.5161252082819</v>
      </c>
      <c r="F22" s="1">
        <f>ROUND(2*E22,0)/2</f>
        <v>1731.5</v>
      </c>
      <c r="G22" s="1">
        <f>+C22-(C$7+F22*C$8)</f>
        <v>7.6179999014129862E-3</v>
      </c>
      <c r="I22" s="1">
        <f>+G22</f>
        <v>7.6179999014129862E-3</v>
      </c>
      <c r="O22" s="1">
        <f ca="1">+C$11+C$12*$F22</f>
        <v>6.7995665229378536E-3</v>
      </c>
      <c r="Q22" s="28">
        <f>+C22-15018.5</f>
        <v>40527.403700000003</v>
      </c>
      <c r="S22" s="1">
        <f ca="1">+(O22-G22)^2</f>
        <v>6.6983319500221971E-7</v>
      </c>
    </row>
    <row r="23" spans="1:19" ht="12.95" customHeight="1" x14ac:dyDescent="0.2">
      <c r="A23" s="29" t="s">
        <v>49</v>
      </c>
      <c r="B23" s="30" t="s">
        <v>48</v>
      </c>
      <c r="C23" s="29">
        <v>55905.891300000003</v>
      </c>
      <c r="D23" s="29">
        <v>4.0000000000000002E-4</v>
      </c>
      <c r="E23" s="1">
        <f>+(C23-C$7)/C$8</f>
        <v>2493.5107571945327</v>
      </c>
      <c r="F23" s="1">
        <f>ROUND(2*E23,0)/2</f>
        <v>2493.5</v>
      </c>
      <c r="G23" s="1">
        <f>+C23-(C$7+F23*C$8)</f>
        <v>5.0819999014493078E-3</v>
      </c>
      <c r="I23" s="1">
        <f>+G23</f>
        <v>5.0819999014493078E-3</v>
      </c>
      <c r="O23" s="1">
        <f ca="1">+C$11+C$12*$F23</f>
        <v>6.0632226911481561E-3</v>
      </c>
      <c r="Q23" s="28">
        <f>+C23-15018.5</f>
        <v>40887.391300000003</v>
      </c>
      <c r="S23" s="1">
        <f ca="1">+(O23-G23)^2</f>
        <v>9.6279816302439023E-7</v>
      </c>
    </row>
    <row r="24" spans="1:19" ht="12.95" customHeight="1" x14ac:dyDescent="0.2">
      <c r="A24" s="31" t="s">
        <v>50</v>
      </c>
      <c r="B24" s="32" t="s">
        <v>48</v>
      </c>
      <c r="C24" s="33">
        <v>57715.760410000104</v>
      </c>
      <c r="D24" s="33">
        <v>2.9999999999999997E-4</v>
      </c>
      <c r="E24" s="1">
        <f>+(C24-C$7)/C$8</f>
        <v>6324.5053426130544</v>
      </c>
      <c r="F24" s="1">
        <f>ROUND(2*E24,0)/2</f>
        <v>6324.5</v>
      </c>
      <c r="G24" s="1">
        <f>+C24-(C$7+F24*C$8)</f>
        <v>2.524000003177207E-3</v>
      </c>
      <c r="I24" s="1">
        <f>+G24</f>
        <v>2.524000003177207E-3</v>
      </c>
      <c r="O24" s="1">
        <f ca="1">+C$11+C$12*$F24</f>
        <v>2.3612105919534922E-3</v>
      </c>
      <c r="Q24" s="28">
        <f>+C24-15018.5</f>
        <v>42697.260410000104</v>
      </c>
      <c r="S24" s="1">
        <f ca="1">+(O24-G24)^2</f>
        <v>2.650039240656372E-8</v>
      </c>
    </row>
    <row r="25" spans="1:19" ht="12.95" customHeight="1" x14ac:dyDescent="0.2"/>
    <row r="26" spans="1:19" ht="12.95" customHeight="1" x14ac:dyDescent="0.2"/>
    <row r="27" spans="1:19" ht="12.95" customHeight="1" x14ac:dyDescent="0.2"/>
    <row r="28" spans="1:19" ht="12.95" customHeight="1" x14ac:dyDescent="0.2"/>
    <row r="29" spans="1:19" ht="12.95" customHeight="1" x14ac:dyDescent="0.2"/>
    <row r="30" spans="1:19" ht="12.95" customHeight="1" x14ac:dyDescent="0.2"/>
    <row r="31" spans="1:19" ht="12.95" customHeight="1" x14ac:dyDescent="0.2"/>
    <row r="32" spans="1:19" ht="12.95" customHeight="1" x14ac:dyDescent="0.2"/>
    <row r="33" ht="12.95" customHeight="1" x14ac:dyDescent="0.2"/>
    <row r="34" ht="12.95" customHeight="1" x14ac:dyDescent="0.2"/>
    <row r="35" ht="12.95" customHeight="1" x14ac:dyDescent="0.2"/>
    <row r="36" ht="12.95" customHeight="1" x14ac:dyDescent="0.2"/>
    <row r="37" ht="12.95" customHeight="1" x14ac:dyDescent="0.2"/>
    <row r="38" ht="12.95" customHeight="1" x14ac:dyDescent="0.2"/>
    <row r="39" ht="12.95" customHeight="1" x14ac:dyDescent="0.2"/>
    <row r="40" ht="12.95" customHeight="1" x14ac:dyDescent="0.2"/>
    <row r="41" ht="12.95" customHeight="1" x14ac:dyDescent="0.2"/>
    <row r="42" ht="12.95" customHeight="1" x14ac:dyDescent="0.2"/>
    <row r="43" ht="12.95" customHeight="1" x14ac:dyDescent="0.2"/>
    <row r="44" ht="12.95" customHeight="1" x14ac:dyDescent="0.2"/>
    <row r="45" ht="12.95" customHeight="1" x14ac:dyDescent="0.2"/>
    <row r="46" ht="12.95" customHeight="1" x14ac:dyDescent="0.2"/>
    <row r="47" ht="12.95" customHeight="1" x14ac:dyDescent="0.2"/>
    <row r="48" ht="12.95" customHeight="1" x14ac:dyDescent="0.2"/>
    <row r="49" ht="12.95" customHeight="1" x14ac:dyDescent="0.2"/>
    <row r="50" ht="12.95" customHeight="1" x14ac:dyDescent="0.2"/>
    <row r="51" ht="12.95" customHeight="1" x14ac:dyDescent="0.2"/>
    <row r="52" ht="12.95" customHeight="1" x14ac:dyDescent="0.2"/>
    <row r="53" ht="12.95" customHeight="1" x14ac:dyDescent="0.2"/>
    <row r="54" ht="12.95" customHeight="1" x14ac:dyDescent="0.2"/>
    <row r="55" ht="12.95" customHeight="1" x14ac:dyDescent="0.2"/>
    <row r="56" ht="12.95" customHeight="1" x14ac:dyDescent="0.2"/>
    <row r="57" ht="12.95" customHeight="1" x14ac:dyDescent="0.2"/>
    <row r="58" ht="12.95" customHeight="1" x14ac:dyDescent="0.2"/>
    <row r="59" ht="12.95" customHeight="1" x14ac:dyDescent="0.2"/>
    <row r="60" ht="12.95" customHeight="1" x14ac:dyDescent="0.2"/>
    <row r="61" ht="12.95" customHeight="1" x14ac:dyDescent="0.2"/>
    <row r="62" ht="12.95" customHeight="1" x14ac:dyDescent="0.2"/>
    <row r="63" ht="12.95" customHeight="1" x14ac:dyDescent="0.2"/>
    <row r="64" ht="12.95" customHeight="1" x14ac:dyDescent="0.2"/>
    <row r="65" ht="12.95" customHeight="1" x14ac:dyDescent="0.2"/>
    <row r="66" ht="12.95" customHeight="1" x14ac:dyDescent="0.2"/>
    <row r="67" ht="12.95" customHeight="1" x14ac:dyDescent="0.2"/>
    <row r="68" ht="12.95" customHeight="1" x14ac:dyDescent="0.2"/>
    <row r="69" ht="12.95" customHeight="1" x14ac:dyDescent="0.2"/>
    <row r="70" ht="12.95" customHeight="1" x14ac:dyDescent="0.2"/>
    <row r="71" ht="12.95" customHeight="1" x14ac:dyDescent="0.2"/>
    <row r="72" ht="12.95" customHeight="1" x14ac:dyDescent="0.2"/>
    <row r="73" ht="12.95" customHeight="1" x14ac:dyDescent="0.2"/>
    <row r="74" ht="12.95" customHeight="1" x14ac:dyDescent="0.2"/>
    <row r="75" ht="12.95" customHeight="1" x14ac:dyDescent="0.2"/>
    <row r="76" ht="12.95" customHeight="1" x14ac:dyDescent="0.2"/>
    <row r="77" ht="12.95" customHeight="1" x14ac:dyDescent="0.2"/>
    <row r="78" ht="12.95" customHeight="1" x14ac:dyDescent="0.2"/>
    <row r="79" ht="12.95" customHeight="1" x14ac:dyDescent="0.2"/>
    <row r="80" ht="12.95" customHeight="1" x14ac:dyDescent="0.2"/>
    <row r="81" ht="12.95" customHeight="1" x14ac:dyDescent="0.2"/>
    <row r="82" ht="12.95" customHeight="1" x14ac:dyDescent="0.2"/>
    <row r="83" ht="12.95" customHeight="1" x14ac:dyDescent="0.2"/>
    <row r="84" ht="12.95" customHeight="1" x14ac:dyDescent="0.2"/>
    <row r="85" ht="12.95" customHeight="1" x14ac:dyDescent="0.2"/>
    <row r="86" ht="12.95" customHeight="1" x14ac:dyDescent="0.2"/>
    <row r="87" ht="12.95" customHeight="1" x14ac:dyDescent="0.2"/>
    <row r="88" ht="12.95" customHeight="1" x14ac:dyDescent="0.2"/>
    <row r="89" ht="12.95" customHeight="1" x14ac:dyDescent="0.2"/>
    <row r="90" ht="12.95" customHeight="1" x14ac:dyDescent="0.2"/>
    <row r="91" ht="12.95" customHeight="1" x14ac:dyDescent="0.2"/>
    <row r="92" ht="12.95" customHeight="1" x14ac:dyDescent="0.2"/>
    <row r="93" ht="12.95" customHeight="1" x14ac:dyDescent="0.2"/>
    <row r="94" ht="12.95" customHeight="1" x14ac:dyDescent="0.2"/>
    <row r="95" ht="12.95" customHeight="1" x14ac:dyDescent="0.2"/>
  </sheetData>
  <sheetProtection selectLockedCells="1" selectUnlockedCells="1"/>
  <pageMargins left="0.75" right="0.75" top="1" bottom="1" header="0.51180555555555551" footer="0.51180555555555551"/>
  <pageSetup firstPageNumber="0" orientation="portrait" horizontalDpi="300" verticalDpi="3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dcterms:created xsi:type="dcterms:W3CDTF">2024-02-25T05:10:22Z</dcterms:created>
  <dcterms:modified xsi:type="dcterms:W3CDTF">2024-02-25T05:10:23Z</dcterms:modified>
</cp:coreProperties>
</file>