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53AFDF9C-92EE-4F94-B03D-C122B45184B4}" xr6:coauthVersionLast="47" xr6:coauthVersionMax="47" xr10:uidLastSave="{00000000-0000-0000-0000-000000000000}"/>
  <bookViews>
    <workbookView xWindow="-120" yWindow="-120" windowWidth="29040" windowHeight="15840"/>
  </bookViews>
  <sheets>
    <sheet name="Active 1" sheetId="1" r:id="rId1"/>
    <sheet name="Active 2" sheetId="2" r:id="rId2"/>
  </sheets>
  <calcPr calcId="181029"/>
</workbook>
</file>

<file path=xl/calcChain.xml><?xml version="1.0" encoding="utf-8"?>
<calcChain xmlns="http://schemas.openxmlformats.org/spreadsheetml/2006/main">
  <c r="F11" i="2" l="1"/>
  <c r="E22" i="2"/>
  <c r="F22" i="2"/>
  <c r="G22" i="2"/>
  <c r="I22" i="2"/>
  <c r="E23" i="2"/>
  <c r="F23" i="2"/>
  <c r="G23" i="2"/>
  <c r="I23" i="2"/>
  <c r="E24" i="2"/>
  <c r="F24" i="2"/>
  <c r="G24" i="2"/>
  <c r="I24" i="2"/>
  <c r="G11" i="2"/>
  <c r="E14" i="2"/>
  <c r="E15" i="2" s="1"/>
  <c r="H20" i="2"/>
  <c r="A21" i="2"/>
  <c r="C21" i="2"/>
  <c r="E21" i="2"/>
  <c r="F21" i="2"/>
  <c r="Q21" i="2"/>
  <c r="Q22" i="2"/>
  <c r="Q23" i="2"/>
  <c r="Q24" i="2"/>
  <c r="E22" i="1"/>
  <c r="F22" i="1"/>
  <c r="G22" i="1"/>
  <c r="I22" i="1"/>
  <c r="E23" i="1"/>
  <c r="F23" i="1"/>
  <c r="G23" i="1"/>
  <c r="I23" i="1"/>
  <c r="E24" i="1"/>
  <c r="F24" i="1"/>
  <c r="G24" i="1"/>
  <c r="I24" i="1"/>
  <c r="F11" i="1"/>
  <c r="Q22" i="1"/>
  <c r="Q23" i="1"/>
  <c r="Q24" i="1"/>
  <c r="C21" i="1"/>
  <c r="E21" i="1"/>
  <c r="F21" i="1"/>
  <c r="G21" i="1"/>
  <c r="H21" i="1"/>
  <c r="A21" i="1"/>
  <c r="H20" i="1"/>
  <c r="G11" i="1"/>
  <c r="E14" i="1"/>
  <c r="E15" i="1" s="1"/>
  <c r="C17" i="1"/>
  <c r="Q21" i="1"/>
  <c r="C17" i="2"/>
  <c r="G21" i="2"/>
  <c r="H21" i="2"/>
  <c r="C11" i="2"/>
  <c r="C12" i="2"/>
  <c r="C12" i="1"/>
  <c r="C16" i="1" l="1"/>
  <c r="D18" i="1" s="1"/>
  <c r="C16" i="2"/>
  <c r="D18" i="2" s="1"/>
  <c r="C15" i="2"/>
  <c r="O21" i="2"/>
  <c r="S21" i="2" s="1"/>
  <c r="O22" i="2"/>
  <c r="S22" i="2" s="1"/>
  <c r="O24" i="2"/>
  <c r="S24" i="2" s="1"/>
  <c r="O23" i="2"/>
  <c r="S23" i="2" s="1"/>
  <c r="C11" i="1"/>
  <c r="O24" i="1" l="1"/>
  <c r="S24" i="1" s="1"/>
  <c r="C15" i="1"/>
  <c r="O23" i="1"/>
  <c r="S23" i="1" s="1"/>
  <c r="O22" i="1"/>
  <c r="S22" i="1" s="1"/>
  <c r="O21" i="1"/>
  <c r="S21" i="1" s="1"/>
  <c r="E16" i="2"/>
  <c r="E17" i="2" s="1"/>
  <c r="C18" i="2"/>
  <c r="S19" i="2"/>
  <c r="S19" i="1" l="1"/>
  <c r="C18" i="1"/>
  <c r="E16" i="1"/>
  <c r="E17" i="1" s="1"/>
</calcChain>
</file>

<file path=xl/sharedStrings.xml><?xml version="1.0" encoding="utf-8"?>
<sst xmlns="http://schemas.openxmlformats.org/spreadsheetml/2006/main" count="116" uniqueCount="53">
  <si>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</si>
  <si>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</si>
  <si>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</si>
  <si>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</si>
  <si>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</si>
  <si>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</si>
  <si>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</si>
  <si>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</si>
  <si>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</si>
  <si>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</si>
  <si>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</si>
  <si>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</si>
  <si>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</si>
  <si>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</si>
  <si>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</si>
  <si>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</si>
  <si>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</si>
  <si>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</si>
  <si>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</si>
  <si>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</si>
  <si>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</si>
  <si>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</si>
  <si>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</si>
  <si>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</si>
  <si>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</si>
  <si>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</si>
  <si>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</si>
  <si>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</si>
  <si>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</si>
  <si>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</si>
  <si>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</si>
  <si>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</si>
  <si>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</si>
  <si>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</si>
  <si>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</si>
  <si>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</si>
  <si>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</si>
  <si>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</si>
  <si>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</si>
  <si>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</si>
  <si>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</si>
  <si>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</si>
  <si>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G1141-0480</t>
  </si>
  <si>
    <t>G1141-0480_Peg.xls</t>
  </si>
  <si>
    <t>EC</t>
  </si>
  <si>
    <t>Peg</t>
  </si>
  <si>
    <t>VSX</t>
  </si>
  <si>
    <t>IBVS 5920</t>
  </si>
  <si>
    <t>I</t>
  </si>
  <si>
    <t>IBVS 5960</t>
  </si>
  <si>
    <t>IBVS 6011</t>
  </si>
  <si>
    <t>V0635 Peg / GSC 1141-0480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</si>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</sst>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1" applyNumberFormat="0" applyFont="0" applyFill="0" applyAlignment="0" applyProtection="0"/>
  </cellStyleXfs>
  <cellXfs count="65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3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4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/>
    <xf numFmtId="0" fontId="0" fillId="0" borderId="0" xfId="0" applyAlignment="1">
      <alignment horizontal="right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V0635 Peg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847-4179-92A3-160806100E9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  <c:pt idx="1">
                  <c:v>-4.4284000061452389E-2</c:v>
                </c:pt>
                <c:pt idx="2">
                  <c:v>4.6889999939594418E-2</c:v>
                </c:pt>
                <c:pt idx="3">
                  <c:v>-3.5186500062991399E-2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847-4179-92A3-160806100E9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847-4179-92A3-160806100E9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847-4179-92A3-160806100E9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847-4179-92A3-160806100E9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847-4179-92A3-160806100E9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847-4179-92A3-160806100E9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-3.6530931888652468E-3</c:v>
                </c:pt>
                <c:pt idx="1">
                  <c:v>-7.6063321613514057E-3</c:v>
                </c:pt>
                <c:pt idx="2">
                  <c:v>-9.5790910626604164E-3</c:v>
                </c:pt>
                <c:pt idx="3">
                  <c:v>-1.1741983771972303E-2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847-4179-92A3-160806100E9E}"/>
            </c:ext>
          </c:extLst>
        </c:ser>
        <c:ser>
          <c:idx val="8"/>
          <c:order val="8"/>
          <c:tx>
            <c:strRef>
              <c:f>'Active 1'!$R$20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2048</c:v>
                </c:pt>
                <c:pt idx="2">
                  <c:v>3070</c:v>
                </c:pt>
                <c:pt idx="3">
                  <c:v>4190.5</c:v>
                </c:pt>
              </c:numCache>
            </c:numRef>
          </c:xVal>
          <c:yVal>
            <c:numRef>
              <c:f>'Active 1'!$R$21:$R$999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847-4179-92A3-160806100E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4927000"/>
        <c:axId val="1"/>
      </c:scatterChart>
      <c:valAx>
        <c:axId val="71492700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49270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5112781954887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V0635 Peg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EDC-48B4-B261-E77A7670209E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2'!$I$21:$I$999</c:f>
              <c:numCache>
                <c:formatCode>General</c:formatCode>
                <c:ptCount val="979"/>
                <c:pt idx="1">
                  <c:v>2.769999933661893E-3</c:v>
                </c:pt>
                <c:pt idx="2">
                  <c:v>3.0099999421508983E-3</c:v>
                </c:pt>
                <c:pt idx="3">
                  <c:v>5.4899999377084896E-3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EDC-48B4-B261-E77A7670209E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EDC-48B4-B261-E77A7670209E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EDC-48B4-B261-E77A7670209E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EDC-48B4-B261-E77A7670209E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EDC-48B4-B261-E77A7670209E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EDC-48B4-B261-E77A7670209E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2'!$O$21:$O$999</c:f>
              <c:numCache>
                <c:formatCode>General</c:formatCode>
                <c:ptCount val="979"/>
                <c:pt idx="0">
                  <c:v>-4.1468242785849384E-5</c:v>
                </c:pt>
                <c:pt idx="1">
                  <c:v>2.4744511316606567E-3</c:v>
                </c:pt>
                <c:pt idx="2">
                  <c:v>3.7303586823631539E-3</c:v>
                </c:pt>
                <c:pt idx="3">
                  <c:v>5.1066582422833202E-3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EDC-48B4-B261-E77A7670209E}"/>
            </c:ext>
          </c:extLst>
        </c:ser>
        <c:ser>
          <c:idx val="8"/>
          <c:order val="8"/>
          <c:tx>
            <c:strRef>
              <c:f>'Active 2'!$R$20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1839</c:v>
                </c:pt>
                <c:pt idx="2">
                  <c:v>2757</c:v>
                </c:pt>
                <c:pt idx="3">
                  <c:v>3763</c:v>
                </c:pt>
              </c:numCache>
            </c:numRef>
          </c:xVal>
          <c:yVal>
            <c:numRef>
              <c:f>'Active 2'!$R$21:$R$999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EDC-48B4-B261-E77A76702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748728"/>
        <c:axId val="1"/>
      </c:scatterChart>
      <c:valAx>
        <c:axId val="752748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527487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CEAB25D-1F9C-30A6-DD1E-C34F653566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50178" name="Chart 1">
          <a:extLst>
            <a:ext uri="{FF2B5EF4-FFF2-40B4-BE49-F238E27FC236}">
              <a16:creationId xmlns:a16="http://schemas.microsoft.com/office/drawing/2014/main" id="{BB2E1B0C-B362-63B0-CE58-40F55AE132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4" t="s">
        <v>51</v>
      </c>
      <c r="E1" t="s">
        <v>43</v>
      </c>
    </row>
    <row r="2" spans="1:7" ht="12.95" customHeight="1" x14ac:dyDescent="0.2">
      <c r="A2" t="s">
        <v>24</v>
      </c>
      <c r="B2" t="s">
        <v>44</v>
      </c>
      <c r="C2" s="30" t="s">
        <v>41</v>
      </c>
      <c r="D2" s="2" t="s">
        <v>45</v>
      </c>
      <c r="E2" s="31" t="s">
        <v>42</v>
      </c>
      <c r="F2" t="e">
        <v>#N/A</v>
      </c>
    </row>
    <row r="3" spans="1:7" ht="12.95" customHeight="1" thickBot="1" x14ac:dyDescent="0.25"/>
    <row r="4" spans="1:7" ht="12.95" customHeight="1" thickTop="1" thickBot="1" x14ac:dyDescent="0.25">
      <c r="A4" s="4" t="s">
        <v>0</v>
      </c>
      <c r="C4" s="27" t="s">
        <v>40</v>
      </c>
      <c r="D4" s="28" t="s">
        <v>40</v>
      </c>
    </row>
    <row r="5" spans="1:7" ht="12.95" customHeight="1" x14ac:dyDescent="0.2"/>
    <row r="6" spans="1:7" ht="12.95" customHeight="1" x14ac:dyDescent="0.2">
      <c r="A6" s="4" t="s">
        <v>1</v>
      </c>
    </row>
    <row r="7" spans="1:7" ht="12.95" customHeight="1" x14ac:dyDescent="0.2">
      <c r="A7" t="s">
        <v>2</v>
      </c>
      <c r="C7" s="35">
        <v>54403.61400000006</v>
      </c>
      <c r="D7" s="29" t="s">
        <v>46</v>
      </c>
    </row>
    <row r="8" spans="1:7" ht="12.95" customHeight="1" x14ac:dyDescent="0.2">
      <c r="A8" t="s">
        <v>3</v>
      </c>
      <c r="C8" s="35">
        <v>0.34723300000000001</v>
      </c>
      <c r="D8" s="29" t="s">
        <v>46</v>
      </c>
    </row>
    <row r="9" spans="1:7" ht="12.95" customHeight="1" x14ac:dyDescent="0.2">
      <c r="A9" s="8" t="s">
        <v>30</v>
      </c>
      <c r="B9" s="9"/>
      <c r="C9" s="10">
        <v>-9.5</v>
      </c>
      <c r="D9" s="9" t="s">
        <v>31</v>
      </c>
      <c r="E9" s="9"/>
    </row>
    <row r="10" spans="1:7" ht="12.95" customHeight="1" thickBot="1" x14ac:dyDescent="0.25">
      <c r="A10" s="9"/>
      <c r="B10" s="9"/>
      <c r="C10" s="3" t="s">
        <v>20</v>
      </c>
      <c r="D10" s="3" t="s">
        <v>21</v>
      </c>
      <c r="E10" s="9"/>
    </row>
    <row r="11" spans="1:7" ht="12.95" customHeight="1" x14ac:dyDescent="0.2">
      <c r="A11" s="9" t="s">
        <v>15</v>
      </c>
      <c r="B11" s="9"/>
      <c r="C11" s="21">
        <f ca="1">INTERCEPT(INDIRECT($G$11):G992,INDIRECT($F$11):F992)</f>
        <v>-3.6530931888652468E-3</v>
      </c>
      <c r="D11" s="2"/>
      <c r="E11" s="9"/>
      <c r="F11" s="22" t="str">
        <f>"F"&amp;E19</f>
        <v>F21</v>
      </c>
      <c r="G11" s="23" t="str">
        <f>"G"&amp;E19</f>
        <v>G21</v>
      </c>
    </row>
    <row r="12" spans="1:7" ht="12.95" customHeight="1" x14ac:dyDescent="0.2">
      <c r="A12" s="9" t="s">
        <v>16</v>
      </c>
      <c r="B12" s="9"/>
      <c r="C12" s="21">
        <f ca="1">SLOPE(INDIRECT($G$11):G992,INDIRECT($F$11):F992)</f>
        <v>-1.9302924670342573E-6</v>
      </c>
      <c r="D12" s="2"/>
      <c r="E12" s="9"/>
    </row>
    <row r="13" spans="1:7" ht="12.95" customHeight="1" x14ac:dyDescent="0.2">
      <c r="A13" s="9" t="s">
        <v>19</v>
      </c>
      <c r="B13" s="9"/>
      <c r="C13" s="2" t="s">
        <v>13</v>
      </c>
      <c r="D13" s="13" t="s">
        <v>37</v>
      </c>
      <c r="E13" s="10">
        <v>1</v>
      </c>
    </row>
    <row r="14" spans="1:7" ht="12.95" customHeight="1" x14ac:dyDescent="0.2">
      <c r="A14" s="9"/>
      <c r="B14" s="9"/>
      <c r="C14" s="9"/>
      <c r="D14" s="13" t="s">
        <v>32</v>
      </c>
      <c r="E14" s="14">
        <f ca="1">NOW()+15018.5+$C$9/24</f>
        <v>60371.82493657407</v>
      </c>
    </row>
    <row r="15" spans="1:7" ht="12.95" customHeight="1" x14ac:dyDescent="0.2">
      <c r="A15" s="11" t="s">
        <v>17</v>
      </c>
      <c r="B15" s="9"/>
      <c r="C15" s="12">
        <f ca="1">(C7+C11)+(C8+C12)*INT(MAX(F21:F3533))</f>
        <v>55858.508528981431</v>
      </c>
      <c r="D15" s="13" t="s">
        <v>38</v>
      </c>
      <c r="E15" s="14">
        <f ca="1">ROUND(2*(E14-$C$7)/$C$8,0)/2+E13</f>
        <v>17189</v>
      </c>
    </row>
    <row r="16" spans="1:7" ht="12.95" customHeight="1" x14ac:dyDescent="0.2">
      <c r="A16" s="15" t="s">
        <v>4</v>
      </c>
      <c r="B16" s="9"/>
      <c r="C16" s="16">
        <f ca="1">+C8+C12</f>
        <v>0.34723106970753298</v>
      </c>
      <c r="D16" s="13" t="s">
        <v>39</v>
      </c>
      <c r="E16" s="23">
        <f ca="1">ROUND(2*(E14-$C$15)/$C$16,0)/2+E13</f>
        <v>12999</v>
      </c>
    </row>
    <row r="17" spans="1:19" ht="12.95" customHeight="1" thickBot="1" x14ac:dyDescent="0.25">
      <c r="A17" s="13" t="s">
        <v>29</v>
      </c>
      <c r="B17" s="9"/>
      <c r="C17" s="9">
        <f>COUNT(C21:C2191)</f>
        <v>4</v>
      </c>
      <c r="D17" s="13" t="s">
        <v>33</v>
      </c>
      <c r="E17" s="17">
        <f ca="1">+$C$15+$C$16*E16-15018.5-$C$9/24</f>
        <v>45354.061037442989</v>
      </c>
    </row>
    <row r="18" spans="1:19" ht="12.95" customHeight="1" thickTop="1" thickBot="1" x14ac:dyDescent="0.25">
      <c r="A18" s="15" t="s">
        <v>5</v>
      </c>
      <c r="B18" s="9"/>
      <c r="C18" s="18">
        <f ca="1">+C15</f>
        <v>55858.508528981431</v>
      </c>
      <c r="D18" s="19">
        <f ca="1">+C16</f>
        <v>0.34723106970753298</v>
      </c>
      <c r="E18" s="20" t="s">
        <v>34</v>
      </c>
    </row>
    <row r="19" spans="1:19" ht="12.95" customHeight="1" thickTop="1" x14ac:dyDescent="0.2">
      <c r="A19" s="24" t="s">
        <v>35</v>
      </c>
      <c r="E19" s="25">
        <v>21</v>
      </c>
      <c r="S19">
        <f ca="1">SQRT(SUM(S21:S50)/(COUNT(S21:S50)-1))</f>
        <v>4.1218927671550075E-2</v>
      </c>
    </row>
    <row r="20" spans="1:19" ht="12.95" customHeight="1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tr">
        <f>A21</f>
        <v>VSX</v>
      </c>
      <c r="I20" s="6" t="s">
        <v>52</v>
      </c>
      <c r="J20" s="6" t="s">
        <v>18</v>
      </c>
      <c r="K20" s="6" t="s">
        <v>25</v>
      </c>
      <c r="L20" s="6" t="s">
        <v>26</v>
      </c>
      <c r="M20" s="6" t="s">
        <v>27</v>
      </c>
      <c r="N20" s="6" t="s">
        <v>28</v>
      </c>
      <c r="O20" s="6" t="s">
        <v>23</v>
      </c>
      <c r="P20" s="5" t="s">
        <v>22</v>
      </c>
      <c r="Q20" s="3" t="s">
        <v>14</v>
      </c>
      <c r="R20" s="26" t="s">
        <v>36</v>
      </c>
    </row>
    <row r="21" spans="1:19" ht="12.95" customHeight="1" x14ac:dyDescent="0.2">
      <c r="A21" t="str">
        <f>D7</f>
        <v>VSX</v>
      </c>
      <c r="C21" s="7">
        <f>C$7</f>
        <v>54403.61400000006</v>
      </c>
      <c r="D21" s="7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-3.6530931888652468E-3</v>
      </c>
      <c r="Q21" s="1">
        <f>+C21-15018.5</f>
        <v>39385.11400000006</v>
      </c>
      <c r="S21">
        <f ca="1">+(O21-G21)^2</f>
        <v>1.3345089846533659E-5</v>
      </c>
    </row>
    <row r="22" spans="1:19" ht="12.95" customHeight="1" x14ac:dyDescent="0.2">
      <c r="A22" s="32" t="s">
        <v>47</v>
      </c>
      <c r="B22" s="33" t="s">
        <v>48</v>
      </c>
      <c r="C22" s="32">
        <v>55114.702899999997</v>
      </c>
      <c r="D22" s="32">
        <v>2.0000000000000001E-4</v>
      </c>
      <c r="E22">
        <f>+(C22-C$7)/C$8</f>
        <v>2047.8724660384726</v>
      </c>
      <c r="F22">
        <f>ROUND(2*E22,0)/2</f>
        <v>2048</v>
      </c>
      <c r="G22">
        <f>+C22-(C$7+F22*C$8)</f>
        <v>-4.4284000061452389E-2</v>
      </c>
      <c r="I22">
        <f>+G22</f>
        <v>-4.4284000061452389E-2</v>
      </c>
      <c r="O22">
        <f ca="1">+C$11+C$12*$F22</f>
        <v>-7.6063321613514057E-3</v>
      </c>
      <c r="Q22" s="1">
        <f>+C22-15018.5</f>
        <v>40096.202899999997</v>
      </c>
      <c r="S22">
        <f ca="1">+(O22-G22)^2</f>
        <v>1.3452513225900981E-3</v>
      </c>
    </row>
    <row r="23" spans="1:19" ht="12.95" customHeight="1" x14ac:dyDescent="0.2">
      <c r="A23" s="32" t="s">
        <v>49</v>
      </c>
      <c r="B23" s="33" t="s">
        <v>48</v>
      </c>
      <c r="C23" s="32">
        <v>55469.6662</v>
      </c>
      <c r="D23" s="32">
        <v>2.9999999999999997E-4</v>
      </c>
      <c r="E23">
        <f>+(C23-C$7)/C$8</f>
        <v>3070.1350390082166</v>
      </c>
      <c r="F23">
        <f>ROUND(2*E23,0)/2</f>
        <v>3070</v>
      </c>
      <c r="G23">
        <f>+C23-(C$7+F23*C$8)</f>
        <v>4.6889999939594418E-2</v>
      </c>
      <c r="I23">
        <f>+G23</f>
        <v>4.6889999939594418E-2</v>
      </c>
      <c r="O23">
        <f ca="1">+C$11+C$12*$F23</f>
        <v>-9.5790910626604164E-3</v>
      </c>
      <c r="Q23" s="1">
        <f>+C23-15018.5</f>
        <v>40451.1662</v>
      </c>
      <c r="S23">
        <f ca="1">+(O23-G23)^2</f>
        <v>3.188758238620938E-3</v>
      </c>
    </row>
    <row r="24" spans="1:19" ht="12.95" customHeight="1" x14ac:dyDescent="0.2">
      <c r="A24" s="32" t="s">
        <v>50</v>
      </c>
      <c r="B24" s="33" t="s">
        <v>48</v>
      </c>
      <c r="C24" s="32">
        <v>55858.6587</v>
      </c>
      <c r="D24" s="32">
        <v>2.9999999999999997E-4</v>
      </c>
      <c r="E24">
        <f>+(C24-C$7)/C$8</f>
        <v>4190.3986660252349</v>
      </c>
      <c r="F24">
        <f>ROUND(2*E24,0)/2</f>
        <v>4190.5</v>
      </c>
      <c r="G24">
        <f>+C24-(C$7+F24*C$8)</f>
        <v>-3.5186500062991399E-2</v>
      </c>
      <c r="I24">
        <f>+G24</f>
        <v>-3.5186500062991399E-2</v>
      </c>
      <c r="O24">
        <f ca="1">+C$11+C$12*$F24</f>
        <v>-1.1741983771972303E-2</v>
      </c>
      <c r="Q24" s="1">
        <f>+C24-15018.5</f>
        <v>40840.1587</v>
      </c>
      <c r="S24">
        <f ca="1">+(O24-G24)^2</f>
        <v>5.4964534411985975E-4</v>
      </c>
    </row>
    <row r="25" spans="1:19" ht="12.95" customHeight="1" x14ac:dyDescent="0.2">
      <c r="C25" s="7"/>
      <c r="D25" s="7"/>
      <c r="Q25" s="1"/>
    </row>
    <row r="26" spans="1:19" ht="12.95" customHeight="1" x14ac:dyDescent="0.2">
      <c r="C26" s="7"/>
      <c r="D26" s="7"/>
      <c r="Q26" s="1"/>
    </row>
    <row r="27" spans="1:19" ht="12.95" customHeight="1" x14ac:dyDescent="0.2">
      <c r="C27" s="7"/>
      <c r="D27" s="7"/>
      <c r="Q27" s="1"/>
    </row>
    <row r="28" spans="1:19" x14ac:dyDescent="0.2">
      <c r="C28" s="7"/>
      <c r="D28" s="7"/>
      <c r="Q28" s="1"/>
    </row>
    <row r="29" spans="1:19" x14ac:dyDescent="0.2">
      <c r="C29" s="7"/>
      <c r="D29" s="7"/>
      <c r="Q29" s="1"/>
    </row>
    <row r="30" spans="1:19" x14ac:dyDescent="0.2">
      <c r="C30" s="7"/>
      <c r="D30" s="7"/>
      <c r="Q30" s="1"/>
    </row>
    <row r="31" spans="1:19" x14ac:dyDescent="0.2">
      <c r="C31" s="7"/>
      <c r="D31" s="7"/>
      <c r="Q31" s="1"/>
    </row>
    <row r="32" spans="1:19" x14ac:dyDescent="0.2">
      <c r="C32" s="7"/>
      <c r="D32" s="7"/>
      <c r="Q32" s="1"/>
    </row>
    <row r="33" spans="3:17" x14ac:dyDescent="0.2">
      <c r="C33" s="7"/>
      <c r="D33" s="7"/>
      <c r="Q33" s="1"/>
    </row>
    <row r="34" spans="3:17" x14ac:dyDescent="0.2">
      <c r="C34" s="7"/>
      <c r="D34" s="7"/>
    </row>
    <row r="35" spans="3:17" x14ac:dyDescent="0.2">
      <c r="C35" s="7"/>
      <c r="D35" s="7"/>
    </row>
    <row r="36" spans="3:17" x14ac:dyDescent="0.2">
      <c r="C36" s="7"/>
      <c r="D36" s="7"/>
    </row>
    <row r="37" spans="3:17" x14ac:dyDescent="0.2">
      <c r="C37" s="7"/>
      <c r="D37" s="7"/>
    </row>
    <row r="38" spans="3:17" x14ac:dyDescent="0.2">
      <c r="C38" s="7"/>
      <c r="D38" s="7"/>
    </row>
    <row r="39" spans="3:17" x14ac:dyDescent="0.2">
      <c r="C39" s="7"/>
      <c r="D39" s="7"/>
    </row>
    <row r="40" spans="3:17" x14ac:dyDescent="0.2">
      <c r="C40" s="7"/>
      <c r="D40" s="7"/>
    </row>
    <row r="41" spans="3:17" x14ac:dyDescent="0.2">
      <c r="C41" s="7"/>
      <c r="D41" s="7"/>
    </row>
    <row r="42" spans="3:17" x14ac:dyDescent="0.2">
      <c r="C42" s="7"/>
      <c r="D42" s="7"/>
    </row>
    <row r="43" spans="3:17" x14ac:dyDescent="0.2">
      <c r="C43" s="7"/>
      <c r="D43" s="7"/>
    </row>
    <row r="44" spans="3:17" x14ac:dyDescent="0.2">
      <c r="C44" s="7"/>
      <c r="D44" s="7"/>
    </row>
    <row r="45" spans="3:17" x14ac:dyDescent="0.2">
      <c r="C45" s="7"/>
      <c r="D45" s="7"/>
    </row>
    <row r="46" spans="3:17" x14ac:dyDescent="0.2">
      <c r="C46" s="7"/>
      <c r="D46" s="7"/>
    </row>
    <row r="47" spans="3:17" x14ac:dyDescent="0.2">
      <c r="C47" s="7"/>
      <c r="D47" s="7"/>
    </row>
    <row r="48" spans="3:17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S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36" sqref="E3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4" t="s">
        <v>51</v>
      </c>
      <c r="E1" t="s">
        <v>43</v>
      </c>
    </row>
    <row r="2" spans="1:7" s="36" customFormat="1" ht="12.95" customHeight="1" x14ac:dyDescent="0.2">
      <c r="A2" s="36" t="s">
        <v>24</v>
      </c>
      <c r="B2" s="36" t="s">
        <v>44</v>
      </c>
      <c r="C2" s="37" t="s">
        <v>41</v>
      </c>
      <c r="D2" s="38" t="s">
        <v>45</v>
      </c>
      <c r="E2" s="31" t="s">
        <v>42</v>
      </c>
      <c r="F2" s="36" t="e">
        <v>#N/A</v>
      </c>
    </row>
    <row r="3" spans="1:7" s="36" customFormat="1" ht="12.95" customHeight="1" thickBot="1" x14ac:dyDescent="0.25"/>
    <row r="4" spans="1:7" s="36" customFormat="1" ht="12.95" customHeight="1" thickTop="1" thickBot="1" x14ac:dyDescent="0.25">
      <c r="A4" s="39" t="s">
        <v>0</v>
      </c>
      <c r="C4" s="40" t="s">
        <v>40</v>
      </c>
      <c r="D4" s="41" t="s">
        <v>40</v>
      </c>
    </row>
    <row r="5" spans="1:7" s="36" customFormat="1" ht="12.95" customHeight="1" x14ac:dyDescent="0.2"/>
    <row r="6" spans="1:7" s="36" customFormat="1" ht="12.95" customHeight="1" x14ac:dyDescent="0.2">
      <c r="A6" s="39" t="s">
        <v>1</v>
      </c>
    </row>
    <row r="7" spans="1:7" s="36" customFormat="1" ht="12.95" customHeight="1" x14ac:dyDescent="0.2">
      <c r="A7" s="36" t="s">
        <v>2</v>
      </c>
      <c r="C7" s="64">
        <v>54403.61400000006</v>
      </c>
      <c r="D7" s="43" t="s">
        <v>46</v>
      </c>
    </row>
    <row r="8" spans="1:7" s="36" customFormat="1" ht="12.95" customHeight="1" x14ac:dyDescent="0.2">
      <c r="A8" s="36" t="s">
        <v>3</v>
      </c>
      <c r="C8" s="64">
        <v>0.38667000000000001</v>
      </c>
      <c r="D8" s="43" t="s">
        <v>46</v>
      </c>
      <c r="E8" s="36">
        <v>0.57670999999999994</v>
      </c>
    </row>
    <row r="9" spans="1:7" s="36" customFormat="1" ht="12.95" customHeight="1" x14ac:dyDescent="0.2">
      <c r="A9" s="44" t="s">
        <v>30</v>
      </c>
      <c r="C9" s="45">
        <v>-9.5</v>
      </c>
      <c r="D9" s="36" t="s">
        <v>31</v>
      </c>
    </row>
    <row r="10" spans="1:7" s="36" customFormat="1" ht="12.95" customHeight="1" thickBot="1" x14ac:dyDescent="0.25">
      <c r="C10" s="46" t="s">
        <v>20</v>
      </c>
      <c r="D10" s="46" t="s">
        <v>21</v>
      </c>
    </row>
    <row r="11" spans="1:7" s="36" customFormat="1" ht="12.95" customHeight="1" x14ac:dyDescent="0.2">
      <c r="A11" s="36" t="s">
        <v>15</v>
      </c>
      <c r="C11" s="47">
        <f ca="1">INTERCEPT(INDIRECT($G$11):G992,INDIRECT($F$11):F992)</f>
        <v>-4.1468242785849384E-5</v>
      </c>
      <c r="D11" s="38"/>
      <c r="F11" s="48" t="str">
        <f>"F"&amp;E19</f>
        <v>F21</v>
      </c>
      <c r="G11" s="47" t="str">
        <f>"G"&amp;E19</f>
        <v>G21</v>
      </c>
    </row>
    <row r="12" spans="1:7" s="36" customFormat="1" ht="12.95" customHeight="1" x14ac:dyDescent="0.2">
      <c r="A12" s="36" t="s">
        <v>16</v>
      </c>
      <c r="C12" s="47">
        <f ca="1">SLOPE(INDIRECT($G$11):G992,INDIRECT($F$11):F992)</f>
        <v>1.368091013837143E-6</v>
      </c>
      <c r="D12" s="38"/>
    </row>
    <row r="13" spans="1:7" s="36" customFormat="1" ht="12.95" customHeight="1" x14ac:dyDescent="0.2">
      <c r="A13" s="36" t="s">
        <v>19</v>
      </c>
      <c r="C13" s="38" t="s">
        <v>13</v>
      </c>
      <c r="D13" s="49" t="s">
        <v>37</v>
      </c>
      <c r="E13" s="45">
        <v>1</v>
      </c>
    </row>
    <row r="14" spans="1:7" s="36" customFormat="1" ht="12.95" customHeight="1" x14ac:dyDescent="0.2">
      <c r="D14" s="49" t="s">
        <v>32</v>
      </c>
      <c r="E14" s="50">
        <f ca="1">NOW()+15018.5+$C$9/24</f>
        <v>60371.82493657407</v>
      </c>
    </row>
    <row r="15" spans="1:7" s="36" customFormat="1" ht="12.95" customHeight="1" x14ac:dyDescent="0.2">
      <c r="A15" s="51" t="s">
        <v>17</v>
      </c>
      <c r="C15" s="52">
        <f ca="1">(C7+C11)+(C8+C12)*INT(MAX(F21:F3533))</f>
        <v>55858.6583166583</v>
      </c>
      <c r="D15" s="49" t="s">
        <v>38</v>
      </c>
      <c r="E15" s="50">
        <f ca="1">ROUND(2*(E14-$C$7)/$C$8,0)/2+E13</f>
        <v>15436</v>
      </c>
    </row>
    <row r="16" spans="1:7" s="36" customFormat="1" ht="12.95" customHeight="1" x14ac:dyDescent="0.2">
      <c r="A16" s="39" t="s">
        <v>4</v>
      </c>
      <c r="C16" s="53">
        <f ca="1">+C8+C12</f>
        <v>0.38667136809101388</v>
      </c>
      <c r="D16" s="49" t="s">
        <v>39</v>
      </c>
      <c r="E16" s="47">
        <f ca="1">ROUND(2*(E14-$C$15)/$C$16,0)/2+E13</f>
        <v>11673</v>
      </c>
    </row>
    <row r="17" spans="1:19" s="36" customFormat="1" ht="12.95" customHeight="1" thickBot="1" x14ac:dyDescent="0.25">
      <c r="A17" s="49" t="s">
        <v>29</v>
      </c>
      <c r="C17" s="36">
        <f>COUNT(C21:C2191)</f>
        <v>4</v>
      </c>
      <c r="D17" s="49" t="s">
        <v>33</v>
      </c>
      <c r="E17" s="54">
        <f ca="1">+$C$15+$C$16*E16-15018.5-$C$9/24</f>
        <v>45354.169029718039</v>
      </c>
    </row>
    <row r="18" spans="1:19" s="36" customFormat="1" ht="12.95" customHeight="1" thickTop="1" thickBot="1" x14ac:dyDescent="0.25">
      <c r="A18" s="39" t="s">
        <v>5</v>
      </c>
      <c r="C18" s="55">
        <f ca="1">+C15</f>
        <v>55858.6583166583</v>
      </c>
      <c r="D18" s="56">
        <f ca="1">+C16</f>
        <v>0.38667136809101388</v>
      </c>
      <c r="E18" s="57" t="s">
        <v>34</v>
      </c>
    </row>
    <row r="19" spans="1:19" s="36" customFormat="1" ht="12.95" customHeight="1" thickTop="1" x14ac:dyDescent="0.2">
      <c r="A19" s="58" t="s">
        <v>35</v>
      </c>
      <c r="E19" s="59">
        <v>21</v>
      </c>
      <c r="S19" s="36">
        <f ca="1">SQRT(SUM(S21:S50)/(COUNT(S21:S50)-1))</f>
        <v>5.0164272797006417E-4</v>
      </c>
    </row>
    <row r="20" spans="1:19" s="36" customFormat="1" ht="12.95" customHeight="1" thickBot="1" x14ac:dyDescent="0.25">
      <c r="A20" s="46" t="s">
        <v>6</v>
      </c>
      <c r="B20" s="46" t="s">
        <v>7</v>
      </c>
      <c r="C20" s="46" t="s">
        <v>8</v>
      </c>
      <c r="D20" s="46" t="s">
        <v>12</v>
      </c>
      <c r="E20" s="46" t="s">
        <v>9</v>
      </c>
      <c r="F20" s="46" t="s">
        <v>10</v>
      </c>
      <c r="G20" s="46" t="s">
        <v>11</v>
      </c>
      <c r="H20" s="60" t="str">
        <f>A21</f>
        <v>VSX</v>
      </c>
      <c r="I20" s="60" t="s">
        <v>52</v>
      </c>
      <c r="J20" s="60" t="s">
        <v>18</v>
      </c>
      <c r="K20" s="60" t="s">
        <v>25</v>
      </c>
      <c r="L20" s="60" t="s">
        <v>26</v>
      </c>
      <c r="M20" s="60" t="s">
        <v>27</v>
      </c>
      <c r="N20" s="60" t="s">
        <v>28</v>
      </c>
      <c r="O20" s="60" t="s">
        <v>23</v>
      </c>
      <c r="P20" s="61" t="s">
        <v>22</v>
      </c>
      <c r="Q20" s="46" t="s">
        <v>14</v>
      </c>
      <c r="R20" s="62" t="s">
        <v>36</v>
      </c>
    </row>
    <row r="21" spans="1:19" s="36" customFormat="1" ht="12.95" customHeight="1" x14ac:dyDescent="0.2">
      <c r="A21" s="36" t="str">
        <f>D7</f>
        <v>VSX</v>
      </c>
      <c r="C21" s="42">
        <f>C$7</f>
        <v>54403.61400000006</v>
      </c>
      <c r="D21" s="42" t="s">
        <v>13</v>
      </c>
      <c r="E21" s="36">
        <f>+(C21-C$7)/C$8</f>
        <v>0</v>
      </c>
      <c r="F21" s="36">
        <f>ROUND(2*E21,0)/2</f>
        <v>0</v>
      </c>
      <c r="G21" s="36">
        <f>+C21-(C$7+F21*C$8)</f>
        <v>0</v>
      </c>
      <c r="H21" s="36">
        <f>+G21</f>
        <v>0</v>
      </c>
      <c r="O21" s="36">
        <f ca="1">+C$11+C$12*$F21</f>
        <v>-4.1468242785849384E-5</v>
      </c>
      <c r="Q21" s="63">
        <f>+C21-15018.5</f>
        <v>39385.11400000006</v>
      </c>
      <c r="S21" s="36">
        <f ca="1">+(O21-G21)^2</f>
        <v>1.7196151597461495E-9</v>
      </c>
    </row>
    <row r="22" spans="1:19" s="36" customFormat="1" ht="12.95" customHeight="1" x14ac:dyDescent="0.2">
      <c r="A22" s="32" t="s">
        <v>47</v>
      </c>
      <c r="B22" s="33" t="s">
        <v>48</v>
      </c>
      <c r="C22" s="32">
        <v>55114.702899999997</v>
      </c>
      <c r="D22" s="32">
        <v>2.0000000000000001E-4</v>
      </c>
      <c r="E22" s="36">
        <f>+(C22-C$7)/C$8</f>
        <v>1839.0071637311842</v>
      </c>
      <c r="F22" s="36">
        <f>ROUND(2*E22,0)/2</f>
        <v>1839</v>
      </c>
      <c r="G22" s="36">
        <f>+C22-(C$7+F22*C$8)</f>
        <v>2.769999933661893E-3</v>
      </c>
      <c r="I22" s="36">
        <f>+G22</f>
        <v>2.769999933661893E-3</v>
      </c>
      <c r="O22" s="36">
        <f ca="1">+C$11+C$12*$F22</f>
        <v>2.4744511316606567E-3</v>
      </c>
      <c r="Q22" s="63">
        <f>+C22-15018.5</f>
        <v>40096.202899999997</v>
      </c>
      <c r="S22" s="36">
        <f ca="1">+(O22-G22)^2</f>
        <v>8.7349094364365999E-8</v>
      </c>
    </row>
    <row r="23" spans="1:19" s="36" customFormat="1" ht="12.95" customHeight="1" x14ac:dyDescent="0.2">
      <c r="A23" s="32" t="s">
        <v>49</v>
      </c>
      <c r="B23" s="33" t="s">
        <v>48</v>
      </c>
      <c r="C23" s="32">
        <v>55469.6662</v>
      </c>
      <c r="D23" s="32">
        <v>2.9999999999999997E-4</v>
      </c>
      <c r="E23" s="36">
        <f>+(C23-C$7)/C$8</f>
        <v>2757.0077844154966</v>
      </c>
      <c r="F23" s="36">
        <f>ROUND(2*E23,0)/2</f>
        <v>2757</v>
      </c>
      <c r="G23" s="36">
        <f>+C23-(C$7+F23*C$8)</f>
        <v>3.0099999421508983E-3</v>
      </c>
      <c r="I23" s="36">
        <f>+G23</f>
        <v>3.0099999421508983E-3</v>
      </c>
      <c r="O23" s="36">
        <f ca="1">+C$11+C$12*$F23</f>
        <v>3.7303586823631539E-3</v>
      </c>
      <c r="Q23" s="63">
        <f>+C23-15018.5</f>
        <v>40451.1662</v>
      </c>
      <c r="S23" s="36">
        <f ca="1">+(O23-G23)^2</f>
        <v>5.1891671460018794E-7</v>
      </c>
    </row>
    <row r="24" spans="1:19" s="36" customFormat="1" ht="12.95" customHeight="1" x14ac:dyDescent="0.2">
      <c r="A24" s="32" t="s">
        <v>50</v>
      </c>
      <c r="B24" s="33" t="s">
        <v>48</v>
      </c>
      <c r="C24" s="32">
        <v>55858.6587</v>
      </c>
      <c r="D24" s="32">
        <v>2.9999999999999997E-4</v>
      </c>
      <c r="E24" s="36">
        <f>+(C24-C$7)/C$8</f>
        <v>3763.0141981533097</v>
      </c>
      <c r="F24" s="36">
        <f>ROUND(2*E24,0)/2</f>
        <v>3763</v>
      </c>
      <c r="G24" s="36">
        <f>+C24-(C$7+F24*C$8)</f>
        <v>5.4899999377084896E-3</v>
      </c>
      <c r="I24" s="36">
        <f>+G24</f>
        <v>5.4899999377084896E-3</v>
      </c>
      <c r="O24" s="36">
        <f ca="1">+C$11+C$12*$F24</f>
        <v>5.1066582422833202E-3</v>
      </c>
      <c r="Q24" s="63">
        <f>+C24-15018.5</f>
        <v>40840.1587</v>
      </c>
      <c r="S24" s="36">
        <f ca="1">+(O24-G24)^2</f>
        <v>1.4695085545144337E-7</v>
      </c>
    </row>
    <row r="25" spans="1:19" s="36" customFormat="1" ht="12.95" customHeight="1" x14ac:dyDescent="0.2">
      <c r="C25" s="42"/>
      <c r="D25" s="42"/>
      <c r="Q25" s="63"/>
    </row>
    <row r="26" spans="1:19" s="36" customFormat="1" ht="12.95" customHeight="1" x14ac:dyDescent="0.2">
      <c r="C26" s="42"/>
      <c r="D26" s="42"/>
      <c r="Q26" s="63"/>
    </row>
    <row r="27" spans="1:19" s="36" customFormat="1" ht="12.95" customHeight="1" x14ac:dyDescent="0.2">
      <c r="C27" s="42"/>
      <c r="D27" s="42"/>
      <c r="Q27" s="63"/>
    </row>
    <row r="28" spans="1:19" s="36" customFormat="1" ht="12.95" customHeight="1" x14ac:dyDescent="0.2">
      <c r="C28" s="42"/>
      <c r="D28" s="42"/>
      <c r="Q28" s="63"/>
    </row>
    <row r="29" spans="1:19" s="36" customFormat="1" ht="12.95" customHeight="1" x14ac:dyDescent="0.2">
      <c r="C29" s="42"/>
      <c r="D29" s="42"/>
      <c r="Q29" s="63"/>
    </row>
    <row r="30" spans="1:19" s="36" customFormat="1" ht="12.95" customHeight="1" x14ac:dyDescent="0.2">
      <c r="C30" s="42"/>
      <c r="D30" s="42"/>
      <c r="Q30" s="63"/>
    </row>
    <row r="31" spans="1:19" s="36" customFormat="1" ht="12.95" customHeight="1" x14ac:dyDescent="0.2">
      <c r="C31" s="42"/>
      <c r="D31" s="42"/>
      <c r="Q31" s="63"/>
    </row>
    <row r="32" spans="1:19" s="36" customFormat="1" ht="12.95" customHeight="1" x14ac:dyDescent="0.2">
      <c r="C32" s="42"/>
      <c r="D32" s="42"/>
      <c r="Q32" s="63"/>
    </row>
    <row r="33" spans="3:17" s="36" customFormat="1" ht="12.95" customHeight="1" x14ac:dyDescent="0.2">
      <c r="C33" s="42"/>
      <c r="D33" s="42"/>
      <c r="Q33" s="63"/>
    </row>
    <row r="34" spans="3:17" s="36" customFormat="1" ht="12.95" customHeight="1" x14ac:dyDescent="0.2">
      <c r="C34" s="42"/>
      <c r="D34" s="42"/>
    </row>
    <row r="35" spans="3:17" s="36" customFormat="1" ht="12.95" customHeight="1" x14ac:dyDescent="0.2">
      <c r="C35" s="42"/>
      <c r="D35" s="42"/>
    </row>
    <row r="36" spans="3:17" s="36" customFormat="1" ht="12.95" customHeight="1" x14ac:dyDescent="0.2">
      <c r="C36" s="42"/>
      <c r="D36" s="42"/>
    </row>
    <row r="37" spans="3:17" s="36" customFormat="1" ht="12.95" customHeight="1" x14ac:dyDescent="0.2">
      <c r="C37" s="42"/>
      <c r="D37" s="42"/>
    </row>
    <row r="38" spans="3:17" s="36" customFormat="1" ht="12.95" customHeight="1" x14ac:dyDescent="0.2">
      <c r="C38" s="42"/>
      <c r="D38" s="42"/>
    </row>
    <row r="39" spans="3:17" s="36" customFormat="1" ht="12.95" customHeight="1" x14ac:dyDescent="0.2">
      <c r="C39" s="42"/>
      <c r="D39" s="42"/>
    </row>
    <row r="40" spans="3:17" s="36" customFormat="1" ht="12.95" customHeight="1" x14ac:dyDescent="0.2">
      <c r="C40" s="42"/>
      <c r="D40" s="42"/>
    </row>
    <row r="41" spans="3:17" x14ac:dyDescent="0.2">
      <c r="C41" s="7"/>
      <c r="D41" s="7"/>
    </row>
    <row r="42" spans="3:17" x14ac:dyDescent="0.2">
      <c r="C42" s="7"/>
      <c r="D42" s="7"/>
    </row>
    <row r="43" spans="3:17" x14ac:dyDescent="0.2">
      <c r="C43" s="7"/>
      <c r="D43" s="7"/>
    </row>
    <row r="44" spans="3:17" x14ac:dyDescent="0.2">
      <c r="C44" s="7"/>
      <c r="D44" s="7"/>
    </row>
    <row r="45" spans="3:17" x14ac:dyDescent="0.2">
      <c r="C45" s="7"/>
      <c r="D45" s="7"/>
    </row>
    <row r="46" spans="3:17" x14ac:dyDescent="0.2">
      <c r="C46" s="7"/>
      <c r="D46" s="7"/>
    </row>
    <row r="47" spans="3:17" x14ac:dyDescent="0.2">
      <c r="C47" s="7"/>
      <c r="D47" s="7"/>
    </row>
    <row r="48" spans="3:17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Active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2024-03-02T06:47:54Z</dcterms:modified>
</cp:coreProperties>
</file>