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05D6F9-95A5-4332-9AD1-B4BFBEAD0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K47" i="1"/>
  <c r="K49" i="1"/>
  <c r="K50" i="1"/>
  <c r="Q65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4" i="1"/>
  <c r="Q35" i="1"/>
  <c r="Q41" i="1"/>
  <c r="Q42" i="1"/>
  <c r="Q43" i="1"/>
  <c r="Q44" i="1"/>
  <c r="Q45" i="1"/>
  <c r="Q46" i="1"/>
  <c r="Q48" i="1"/>
  <c r="Q51" i="1"/>
  <c r="Q52" i="1"/>
  <c r="Q55" i="1"/>
  <c r="Q57" i="1"/>
  <c r="Q58" i="1"/>
  <c r="Q59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56" i="2"/>
  <c r="C56" i="2"/>
  <c r="G55" i="2"/>
  <c r="C55" i="2"/>
  <c r="G54" i="2"/>
  <c r="C54" i="2"/>
  <c r="G53" i="2"/>
  <c r="C53" i="2"/>
  <c r="G20" i="2"/>
  <c r="C20" i="2"/>
  <c r="G52" i="2"/>
  <c r="C52" i="2"/>
  <c r="G51" i="2"/>
  <c r="C51" i="2"/>
  <c r="G19" i="2"/>
  <c r="C19" i="2"/>
  <c r="G18" i="2"/>
  <c r="C18" i="2"/>
  <c r="G50" i="2"/>
  <c r="C50" i="2"/>
  <c r="G17" i="2"/>
  <c r="C17" i="2"/>
  <c r="G49" i="2"/>
  <c r="C49" i="2"/>
  <c r="G48" i="2"/>
  <c r="C48" i="2"/>
  <c r="G47" i="2"/>
  <c r="C47" i="2"/>
  <c r="G46" i="2"/>
  <c r="C46" i="2"/>
  <c r="G45" i="2"/>
  <c r="C45" i="2"/>
  <c r="G44" i="2"/>
  <c r="C44" i="2"/>
  <c r="G16" i="2"/>
  <c r="C16" i="2"/>
  <c r="G15" i="2"/>
  <c r="C15" i="2"/>
  <c r="G14" i="2"/>
  <c r="C14" i="2"/>
  <c r="G13" i="2"/>
  <c r="C13" i="2"/>
  <c r="G12" i="2"/>
  <c r="C12" i="2"/>
  <c r="G43" i="2"/>
  <c r="C43" i="2"/>
  <c r="G42" i="2"/>
  <c r="C4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20" i="2"/>
  <c r="D20" i="2"/>
  <c r="B20" i="2"/>
  <c r="A20" i="2"/>
  <c r="H52" i="2"/>
  <c r="D52" i="2"/>
  <c r="B52" i="2"/>
  <c r="A52" i="2"/>
  <c r="H51" i="2"/>
  <c r="D51" i="2"/>
  <c r="B51" i="2"/>
  <c r="A51" i="2"/>
  <c r="H19" i="2"/>
  <c r="D19" i="2"/>
  <c r="B19" i="2"/>
  <c r="A19" i="2"/>
  <c r="H18" i="2"/>
  <c r="D18" i="2"/>
  <c r="B18" i="2"/>
  <c r="A18" i="2"/>
  <c r="H50" i="2"/>
  <c r="D50" i="2"/>
  <c r="B50" i="2"/>
  <c r="A50" i="2"/>
  <c r="H17" i="2"/>
  <c r="D17" i="2"/>
  <c r="B17" i="2"/>
  <c r="A17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43" i="2"/>
  <c r="D43" i="2"/>
  <c r="B43" i="2"/>
  <c r="A43" i="2"/>
  <c r="H42" i="2"/>
  <c r="D42" i="2"/>
  <c r="B42" i="2"/>
  <c r="A42" i="2"/>
  <c r="H11" i="2"/>
  <c r="D11" i="2"/>
  <c r="B11" i="2"/>
  <c r="A1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C4" i="1"/>
  <c r="C7" i="1"/>
  <c r="D4" i="1"/>
  <c r="C8" i="1"/>
  <c r="Q64" i="1"/>
  <c r="Q63" i="1"/>
  <c r="Q62" i="1"/>
  <c r="Q61" i="1"/>
  <c r="Q60" i="1"/>
  <c r="Q53" i="1"/>
  <c r="Q54" i="1"/>
  <c r="Q56" i="1"/>
  <c r="Q47" i="1"/>
  <c r="Q49" i="1"/>
  <c r="Q50" i="1"/>
  <c r="Q36" i="1"/>
  <c r="Q37" i="1"/>
  <c r="F16" i="1"/>
  <c r="F17" i="1" s="1"/>
  <c r="C17" i="1"/>
  <c r="Q33" i="1"/>
  <c r="Q38" i="1"/>
  <c r="Q39" i="1"/>
  <c r="Q40" i="1"/>
  <c r="B2" i="1"/>
  <c r="Q28" i="1"/>
  <c r="E22" i="1"/>
  <c r="F22" i="1"/>
  <c r="E31" i="1"/>
  <c r="F31" i="1"/>
  <c r="G31" i="1"/>
  <c r="K31" i="1"/>
  <c r="E45" i="1"/>
  <c r="F45" i="1"/>
  <c r="E59" i="1"/>
  <c r="F59" i="1"/>
  <c r="E53" i="1"/>
  <c r="F53" i="1"/>
  <c r="E47" i="1"/>
  <c r="F47" i="1"/>
  <c r="E25" i="1"/>
  <c r="F25" i="1"/>
  <c r="G25" i="1"/>
  <c r="K25" i="1"/>
  <c r="E35" i="1"/>
  <c r="F35" i="1"/>
  <c r="E51" i="1"/>
  <c r="F51" i="1"/>
  <c r="E36" i="1"/>
  <c r="F36" i="1"/>
  <c r="G36" i="1"/>
  <c r="K36" i="1"/>
  <c r="E60" i="1"/>
  <c r="F60" i="1"/>
  <c r="G60" i="1"/>
  <c r="K60" i="1"/>
  <c r="G22" i="1"/>
  <c r="K22" i="1"/>
  <c r="E29" i="1"/>
  <c r="F29" i="1"/>
  <c r="E43" i="1"/>
  <c r="F43" i="1"/>
  <c r="G45" i="1"/>
  <c r="K45" i="1"/>
  <c r="E57" i="1"/>
  <c r="F57" i="1"/>
  <c r="G57" i="1"/>
  <c r="K57" i="1"/>
  <c r="G59" i="1"/>
  <c r="K59" i="1"/>
  <c r="E39" i="1"/>
  <c r="F39" i="1"/>
  <c r="G53" i="1"/>
  <c r="K53" i="1"/>
  <c r="E63" i="1"/>
  <c r="F63" i="1"/>
  <c r="E49" i="1"/>
  <c r="F49" i="1"/>
  <c r="E23" i="1"/>
  <c r="F23" i="1"/>
  <c r="E32" i="1"/>
  <c r="F32" i="1"/>
  <c r="G32" i="1"/>
  <c r="K32" i="1"/>
  <c r="G35" i="1"/>
  <c r="K35" i="1"/>
  <c r="E46" i="1"/>
  <c r="F46" i="1"/>
  <c r="G51" i="1"/>
  <c r="K51" i="1"/>
  <c r="E28" i="1"/>
  <c r="F28" i="1"/>
  <c r="E54" i="1"/>
  <c r="F54" i="1"/>
  <c r="E26" i="1"/>
  <c r="F26" i="1"/>
  <c r="G29" i="1"/>
  <c r="K29" i="1"/>
  <c r="E41" i="1"/>
  <c r="F41" i="1"/>
  <c r="G43" i="1"/>
  <c r="K43" i="1"/>
  <c r="E52" i="1"/>
  <c r="F52" i="1"/>
  <c r="E37" i="1"/>
  <c r="F37" i="1"/>
  <c r="G39" i="1"/>
  <c r="J39" i="1"/>
  <c r="E61" i="1"/>
  <c r="F61" i="1"/>
  <c r="G63" i="1"/>
  <c r="K63" i="1"/>
  <c r="E50" i="1"/>
  <c r="F50" i="1"/>
  <c r="U47" i="1"/>
  <c r="E21" i="1"/>
  <c r="F21" i="1"/>
  <c r="G23" i="1"/>
  <c r="K23" i="1"/>
  <c r="E30" i="1"/>
  <c r="F30" i="1"/>
  <c r="E44" i="1"/>
  <c r="F44" i="1"/>
  <c r="G44" i="1"/>
  <c r="K44" i="1"/>
  <c r="G46" i="1"/>
  <c r="K46" i="1"/>
  <c r="E58" i="1"/>
  <c r="F58" i="1"/>
  <c r="G28" i="1"/>
  <c r="E40" i="1"/>
  <c r="F40" i="1"/>
  <c r="G54" i="1"/>
  <c r="K54" i="1"/>
  <c r="E64" i="1"/>
  <c r="F64" i="1"/>
  <c r="E65" i="1"/>
  <c r="F65" i="1"/>
  <c r="G65" i="1"/>
  <c r="K65" i="1"/>
  <c r="E24" i="1"/>
  <c r="F24" i="1"/>
  <c r="G24" i="1"/>
  <c r="K24" i="1"/>
  <c r="G26" i="1"/>
  <c r="K26" i="1"/>
  <c r="E34" i="1"/>
  <c r="F34" i="1"/>
  <c r="G34" i="1"/>
  <c r="K34" i="1"/>
  <c r="G41" i="1"/>
  <c r="K41" i="1"/>
  <c r="E48" i="1"/>
  <c r="F48" i="1"/>
  <c r="G48" i="1"/>
  <c r="K48" i="1"/>
  <c r="G52" i="1"/>
  <c r="K52" i="1"/>
  <c r="E33" i="1"/>
  <c r="F33" i="1"/>
  <c r="G33" i="1"/>
  <c r="J33" i="1"/>
  <c r="G37" i="1"/>
  <c r="K37" i="1"/>
  <c r="E56" i="1"/>
  <c r="F56" i="1"/>
  <c r="G56" i="1"/>
  <c r="K56" i="1"/>
  <c r="G61" i="1"/>
  <c r="K61" i="1"/>
  <c r="U50" i="1"/>
  <c r="U21" i="1"/>
  <c r="E27" i="1"/>
  <c r="F27" i="1"/>
  <c r="G27" i="1"/>
  <c r="K27" i="1"/>
  <c r="G30" i="1"/>
  <c r="K30" i="1"/>
  <c r="E42" i="1"/>
  <c r="F42" i="1"/>
  <c r="G42" i="1"/>
  <c r="K42" i="1"/>
  <c r="E55" i="1"/>
  <c r="F55" i="1"/>
  <c r="G55" i="1"/>
  <c r="K55" i="1"/>
  <c r="G58" i="1"/>
  <c r="K58" i="1"/>
  <c r="E38" i="1"/>
  <c r="F38" i="1"/>
  <c r="G38" i="1"/>
  <c r="J38" i="1"/>
  <c r="G40" i="1"/>
  <c r="J40" i="1"/>
  <c r="E62" i="1"/>
  <c r="F62" i="1"/>
  <c r="G62" i="1"/>
  <c r="K62" i="1"/>
  <c r="G64" i="1"/>
  <c r="K64" i="1"/>
  <c r="U49" i="1"/>
  <c r="E36" i="2"/>
  <c r="E42" i="2"/>
  <c r="E16" i="2"/>
  <c r="E20" i="2"/>
  <c r="E31" i="2"/>
  <c r="E37" i="2"/>
  <c r="E44" i="2"/>
  <c r="E17" i="2"/>
  <c r="E53" i="2"/>
  <c r="E24" i="2"/>
  <c r="E25" i="2"/>
  <c r="E50" i="2"/>
  <c r="E32" i="2"/>
  <c r="E39" i="2"/>
  <c r="E12" i="2"/>
  <c r="E18" i="2"/>
  <c r="E55" i="2"/>
  <c r="E26" i="2"/>
  <c r="E48" i="2"/>
  <c r="E38" i="2"/>
  <c r="E45" i="2"/>
  <c r="E33" i="2"/>
  <c r="E46" i="2"/>
  <c r="E27" i="2"/>
  <c r="E41" i="2"/>
  <c r="E43" i="2"/>
  <c r="E54" i="2"/>
  <c r="E13" i="2"/>
  <c r="E19" i="2"/>
  <c r="E56" i="2"/>
  <c r="E34" i="2"/>
  <c r="E40" i="2"/>
  <c r="E14" i="2"/>
  <c r="E47" i="2"/>
  <c r="E21" i="2"/>
  <c r="E28" i="2"/>
  <c r="E51" i="2"/>
  <c r="E29" i="2"/>
  <c r="E11" i="2"/>
  <c r="E15" i="2"/>
  <c r="E49" i="2"/>
  <c r="E52" i="2"/>
  <c r="E22" i="2"/>
  <c r="E30" i="2"/>
  <c r="E23" i="2"/>
  <c r="K28" i="1"/>
  <c r="H28" i="1"/>
  <c r="E35" i="2"/>
  <c r="C12" i="1"/>
  <c r="C11" i="1"/>
  <c r="O66" i="1" l="1"/>
  <c r="C16" i="1"/>
  <c r="D18" i="1" s="1"/>
  <c r="O45" i="1"/>
  <c r="O27" i="1"/>
  <c r="O65" i="1"/>
  <c r="O34" i="1"/>
  <c r="O35" i="1"/>
  <c r="O36" i="1"/>
  <c r="O49" i="1"/>
  <c r="O52" i="1"/>
  <c r="O32" i="1"/>
  <c r="O22" i="1"/>
  <c r="O43" i="1"/>
  <c r="O44" i="1"/>
  <c r="O53" i="1"/>
  <c r="O50" i="1"/>
  <c r="O59" i="1"/>
  <c r="O42" i="1"/>
  <c r="O47" i="1"/>
  <c r="O48" i="1"/>
  <c r="O51" i="1"/>
  <c r="C15" i="1"/>
  <c r="F18" i="1" s="1"/>
  <c r="O62" i="1"/>
  <c r="O46" i="1"/>
  <c r="O37" i="1"/>
  <c r="O57" i="1"/>
  <c r="O58" i="1"/>
  <c r="O56" i="1"/>
  <c r="O38" i="1"/>
  <c r="O55" i="1"/>
  <c r="O40" i="1"/>
  <c r="O64" i="1"/>
  <c r="O33" i="1"/>
  <c r="O30" i="1"/>
  <c r="O21" i="1"/>
  <c r="O28" i="1"/>
  <c r="O61" i="1"/>
  <c r="O63" i="1"/>
  <c r="O60" i="1"/>
  <c r="O26" i="1"/>
  <c r="O29" i="1"/>
  <c r="O31" i="1"/>
  <c r="O24" i="1"/>
  <c r="O39" i="1"/>
  <c r="O25" i="1"/>
  <c r="O23" i="1"/>
  <c r="O54" i="1"/>
  <c r="O41" i="1"/>
  <c r="C18" i="1" l="1"/>
  <c r="F19" i="1"/>
</calcChain>
</file>

<file path=xl/sharedStrings.xml><?xml version="1.0" encoding="utf-8"?>
<sst xmlns="http://schemas.openxmlformats.org/spreadsheetml/2006/main" count="543" uniqueCount="235">
  <si>
    <t>JAVSO..43..238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</si>
  <si>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</si>
  <si>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</si>
  <si>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</si>
  <si>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</si>
  <si>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</si>
  <si>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</si>
  <si>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</si>
  <si>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</si>
  <si>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</si>
  <si>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</si>
  <si>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</si>
  <si>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</si>
  <si>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</si>
  <si>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</si>
  <si>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</si>
  <si>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</si>
  <si>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</si>
  <si>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</si>
  <si>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</si>
  <si>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</si>
  <si>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</si>
  <si>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</si>
  <si>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</si>
  <si>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</si>
  <si>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</si>
  <si>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</si>
  <si>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</si>
  <si>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</si>
  <si>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</si>
  <si>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</si>
  <si>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</si>
  <si>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</si>
  <si>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</si>
  <si>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</si>
  <si>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</si>
  <si>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</si>
  <si>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NY Vir / GSC 4966-0491 </t>
  </si>
  <si>
    <t>EA</t>
  </si>
  <si>
    <t>IBVS 5731</t>
  </si>
  <si>
    <t>IBVS 5802</t>
  </si>
  <si>
    <t>Add cycle</t>
  </si>
  <si>
    <t>Old Cycle</t>
  </si>
  <si>
    <t>IBVS 6007</t>
  </si>
  <si>
    <t>II</t>
  </si>
  <si>
    <t>JAVSO..39...94</t>
  </si>
  <si>
    <t>JAVSO..39..177</t>
  </si>
  <si>
    <t>2013JAVSO..41..122</t>
  </si>
  <si>
    <t>IBVS 6133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</si>
  <si>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</si>
  <si>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</si>
  <si>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</si>
  <si>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</si>
  <si>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</si>
  <si>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</si>
  <si>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</si>
  <si>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</si>
  <si>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</si>
  <si>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</si>
  <si>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</si>
  <si>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</si>
  <si>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2451660.4205 </t>
  </si>
  <si>
    <t> 25.04.2000 22:05 </t>
  </si>
  <si>
    <t> -0.0959 </t>
  </si>
  <si>
    <t>E </t>
  </si>
  <si>
    <t>?</t>
  </si>
  <si>
    <t> E.Blättler </t>
  </si>
  <si>
    <t> BBS 122 </t>
  </si>
  <si>
    <t>2452308.6326 </t>
  </si>
  <si>
    <t> 03.02.2002 03:10 </t>
  </si>
  <si>
    <t> -0.0022 </t>
  </si>
  <si>
    <t> BBS 127 </t>
  </si>
  <si>
    <t>2452323.4836 </t>
  </si>
  <si>
    <t> 17.02.2002 23:36 </t>
  </si>
  <si>
    <t> -0.0005 </t>
  </si>
  <si>
    <t>2452323.535 </t>
  </si>
  <si>
    <t> 18.02.2002 00:50 </t>
  </si>
  <si>
    <t> 0.000 </t>
  </si>
  <si>
    <t>2452323.5845 </t>
  </si>
  <si>
    <t> 18.02.2002 02:01 </t>
  </si>
  <si>
    <t> -0.0006 </t>
  </si>
  <si>
    <t>2452323.6353 </t>
  </si>
  <si>
    <t> 18.02.2002 03:14 </t>
  </si>
  <si>
    <t> -0.0003 </t>
  </si>
  <si>
    <t>2452323.6855 </t>
  </si>
  <si>
    <t> 18.02.2002 04:27 </t>
  </si>
  <si>
    <t>2453445.1653 </t>
  </si>
  <si>
    <t> 15.03.2005 15:58 </t>
  </si>
  <si>
    <t> -0.0000 </t>
  </si>
  <si>
    <t> S.Kiyota </t>
  </si>
  <si>
    <t>VSB 44 </t>
  </si>
  <si>
    <t>2453814.1764 </t>
  </si>
  <si>
    <t> 19.03.2006 16:14 </t>
  </si>
  <si>
    <t> -0.0002 </t>
  </si>
  <si>
    <t> K.Nagai et al. </t>
  </si>
  <si>
    <t>VSB 45 </t>
  </si>
  <si>
    <t>2453814.2268 </t>
  </si>
  <si>
    <t> 19.03.2006 17:26 </t>
  </si>
  <si>
    <t>2453814.2774 </t>
  </si>
  <si>
    <t> 19.03.2006 18:39 </t>
  </si>
  <si>
    <t>2453867.4118 </t>
  </si>
  <si>
    <t> 11.05.2006 21:52 </t>
  </si>
  <si>
    <t>C </t>
  </si>
  <si>
    <t>-I</t>
  </si>
  <si>
    <t> F.Agerer </t>
  </si>
  <si>
    <t>BAVM 178 </t>
  </si>
  <si>
    <t>2454136.2653 </t>
  </si>
  <si>
    <t> 04.02.2007 18:22 </t>
  </si>
  <si>
    <t>16197.5</t>
  </si>
  <si>
    <t> -0.0007 </t>
  </si>
  <si>
    <t> K.Nakajima </t>
  </si>
  <si>
    <t>VSB 46 </t>
  </si>
  <si>
    <t>2454136.3161 </t>
  </si>
  <si>
    <t> 04.02.2007 19:35 </t>
  </si>
  <si>
    <t>16198</t>
  </si>
  <si>
    <t> -0.0004 </t>
  </si>
  <si>
    <t>2454195.41066 </t>
  </si>
  <si>
    <t> 04.04.2007 21:51 </t>
  </si>
  <si>
    <t>16783</t>
  </si>
  <si>
    <t> -0.00020 </t>
  </si>
  <si>
    <t>R</t>
  </si>
  <si>
    <t> P.Zasche </t>
  </si>
  <si>
    <t>IBVS 6007 </t>
  </si>
  <si>
    <t>2454195.46122 </t>
  </si>
  <si>
    <t> 04.04.2007 23:04 </t>
  </si>
  <si>
    <t>16783.5</t>
  </si>
  <si>
    <t> -0.00014 </t>
  </si>
  <si>
    <t>2454206.3214 </t>
  </si>
  <si>
    <t> 15.04.2007 19:42 </t>
  </si>
  <si>
    <t>16891</t>
  </si>
  <si>
    <t> 0.0008 </t>
  </si>
  <si>
    <t>BAVM 186 </t>
  </si>
  <si>
    <t>2454206.4221 </t>
  </si>
  <si>
    <t> 15.04.2007 22:07 </t>
  </si>
  <si>
    <t>16892</t>
  </si>
  <si>
    <t> 0.0005 </t>
  </si>
  <si>
    <t>2454206.5228 </t>
  </si>
  <si>
    <t> 16.04.2007 00:32 </t>
  </si>
  <si>
    <t>16893</t>
  </si>
  <si>
    <t> 0.0002 </t>
  </si>
  <si>
    <t>2454911.1595 </t>
  </si>
  <si>
    <t> 20.03.2009 15:49 </t>
  </si>
  <si>
    <t>23868.5</t>
  </si>
  <si>
    <t> 0.0001 </t>
  </si>
  <si>
    <t>VSB 50 </t>
  </si>
  <si>
    <t>2454911.2096 </t>
  </si>
  <si>
    <t> 20.03.2009 17:01 </t>
  </si>
  <si>
    <t>23869</t>
  </si>
  <si>
    <t>2454916.1594 </t>
  </si>
  <si>
    <t> 25.03.2009 15:49 </t>
  </si>
  <si>
    <t>23918</t>
  </si>
  <si>
    <t>Rc</t>
  </si>
  <si>
    <t>2454916.2098 </t>
  </si>
  <si>
    <t> 25.03.2009 17:02 </t>
  </si>
  <si>
    <t>23918.5</t>
  </si>
  <si>
    <t>2454917.1693 </t>
  </si>
  <si>
    <t> 26.03.2009 16:03 </t>
  </si>
  <si>
    <t>23928</t>
  </si>
  <si>
    <t>B</t>
  </si>
  <si>
    <t>2454917.2192 </t>
  </si>
  <si>
    <t> 26.03.2009 17:15 </t>
  </si>
  <si>
    <t>23928.5</t>
  </si>
  <si>
    <t> -0.0012 </t>
  </si>
  <si>
    <t>2455240.6163 </t>
  </si>
  <si>
    <t> 13.02.2010 02:47 </t>
  </si>
  <si>
    <t>27130</t>
  </si>
  <si>
    <t> -0.0067 </t>
  </si>
  <si>
    <t>ns</t>
  </si>
  <si>
    <t> L.Corp </t>
  </si>
  <si>
    <t> JAAVSO 39;94 </t>
  </si>
  <si>
    <t>2455555.2873 </t>
  </si>
  <si>
    <t> 24.12.2010 18:53 </t>
  </si>
  <si>
    <t>30245</t>
  </si>
  <si>
    <t>VSB 51 </t>
  </si>
  <si>
    <t>2455595.5366 </t>
  </si>
  <si>
    <t> 03.02.2011 00:52 </t>
  </si>
  <si>
    <t>30643.5</t>
  </si>
  <si>
    <t> -0.0060 </t>
  </si>
  <si>
    <t> JAAVSO 39;177 </t>
  </si>
  <si>
    <t>2455595.5869 </t>
  </si>
  <si>
    <t> 03.02.2011 02:05 </t>
  </si>
  <si>
    <t>30644</t>
  </si>
  <si>
    <t> -0.0062 </t>
  </si>
  <si>
    <t>2455940.2588 </t>
  </si>
  <si>
    <t> 13.01.2012 18:12 </t>
  </si>
  <si>
    <t>34056</t>
  </si>
  <si>
    <t>Ic</t>
  </si>
  <si>
    <t>VSB 55 </t>
  </si>
  <si>
    <t>2455979.5541 </t>
  </si>
  <si>
    <t> 22.02.2012 01:17 </t>
  </si>
  <si>
    <t>34445</t>
  </si>
  <si>
    <t> JAAVSO 41;122 </t>
  </si>
  <si>
    <t>2455979.6047 </t>
  </si>
  <si>
    <t> 22.02.2012 02:30 </t>
  </si>
  <si>
    <t>34445.5</t>
  </si>
  <si>
    <t>2455979.6551 </t>
  </si>
  <si>
    <t> 22.02.2012 03:43 </t>
  </si>
  <si>
    <t>34446</t>
  </si>
  <si>
    <t>2456013.1423 </t>
  </si>
  <si>
    <t> 26.03.2012 15:24 </t>
  </si>
  <si>
    <t>34777.5</t>
  </si>
  <si>
    <t>2456014.1017 </t>
  </si>
  <si>
    <t> 27.03.2012 14:26 </t>
  </si>
  <si>
    <t>34787</t>
  </si>
  <si>
    <t>2456014.1524 </t>
  </si>
  <si>
    <t> 27.03.2012 15:39 </t>
  </si>
  <si>
    <t>34787.5</t>
  </si>
  <si>
    <t>2456398.467422 </t>
  </si>
  <si>
    <t> 15.04.2013 23:13 </t>
  </si>
  <si>
    <t>38592</t>
  </si>
  <si>
    <t> -0.000506 </t>
  </si>
  <si>
    <t> D.Kubicki </t>
  </si>
  <si>
    <t>IBVS 6131 </t>
  </si>
  <si>
    <t>IBVS 6133 </t>
  </si>
  <si>
    <t>2456398.517741 </t>
  </si>
  <si>
    <t> 16.04.2013 00:25 </t>
  </si>
  <si>
    <t>38592.5</t>
  </si>
  <si>
    <t> -0.000695 </t>
  </si>
  <si>
    <t>2456398.56844 </t>
  </si>
  <si>
    <t> 16.04.2013 01:38 </t>
  </si>
  <si>
    <t>38593</t>
  </si>
  <si>
    <t> -0.00050 </t>
  </si>
  <si>
    <t>2456398.568440 </t>
  </si>
  <si>
    <t> -0.000504 </t>
  </si>
  <si>
    <t>2456404.47811 </t>
  </si>
  <si>
    <t> 21.04.2013 23:28 </t>
  </si>
  <si>
    <t>38651.5</t>
  </si>
  <si>
    <t> -0.00027 </t>
  </si>
  <si>
    <t>2456404.478110 </t>
  </si>
  <si>
    <t> -0.000268 </t>
  </si>
  <si>
    <t>2456404.528422 </t>
  </si>
  <si>
    <t> 22.04.2013 00:40 </t>
  </si>
  <si>
    <t>38652</t>
  </si>
  <si>
    <t> -0.000464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</si>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</sst>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55-45C9-8E90-0FDA888886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55-45C9-8E90-0FDA888886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2">
                  <c:v>1.4886400458635762E-4</c:v>
                </c:pt>
                <c:pt idx="17">
                  <c:v>1.1493839992908761E-3</c:v>
                </c:pt>
                <c:pt idx="18">
                  <c:v>8.3340800483711064E-4</c:v>
                </c:pt>
                <c:pt idx="19">
                  <c:v>5.1743200310738757E-4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55-45C9-8E90-0FDA888886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-1.5254800018738024E-3</c:v>
                </c:pt>
                <c:pt idx="2">
                  <c:v>1.2604799849214032E-4</c:v>
                </c:pt>
                <c:pt idx="3">
                  <c:v>1.0180600074818358E-3</c:v>
                </c:pt>
                <c:pt idx="4">
                  <c:v>1.0071998985949904E-5</c:v>
                </c:pt>
                <c:pt idx="5">
                  <c:v>3.0208400130504742E-4</c:v>
                </c:pt>
                <c:pt idx="6">
                  <c:v>-5.9039957704953849E-6</c:v>
                </c:pt>
                <c:pt idx="7">
                  <c:v>0</c:v>
                </c:pt>
                <c:pt idx="8">
                  <c:v>4.2854400089709088E-4</c:v>
                </c:pt>
                <c:pt idx="9">
                  <c:v>1.6821600002003834E-4</c:v>
                </c:pt>
                <c:pt idx="10">
                  <c:v>6.0227997892070562E-5</c:v>
                </c:pt>
                <c:pt idx="11">
                  <c:v>1.5223999798763543E-4</c:v>
                </c:pt>
                <c:pt idx="13">
                  <c:v>-3.7126000097487122E-4</c:v>
                </c:pt>
                <c:pt idx="14">
                  <c:v>-7.9247998655773699E-5</c:v>
                </c:pt>
                <c:pt idx="15">
                  <c:v>1.347920042462647E-4</c:v>
                </c:pt>
                <c:pt idx="16">
                  <c:v>1.8680399807635695E-4</c:v>
                </c:pt>
                <c:pt idx="20">
                  <c:v>2.768440026557073E-4</c:v>
                </c:pt>
                <c:pt idx="21">
                  <c:v>-1.3114399916958064E-4</c:v>
                </c:pt>
                <c:pt idx="22">
                  <c:v>-1.1396800255170092E-4</c:v>
                </c:pt>
                <c:pt idx="23">
                  <c:v>-2.2195599740371108E-4</c:v>
                </c:pt>
                <c:pt idx="24">
                  <c:v>-3.7372799852164462E-4</c:v>
                </c:pt>
                <c:pt idx="25">
                  <c:v>-9.8171599529450759E-4</c:v>
                </c:pt>
                <c:pt idx="26">
                  <c:v>0</c:v>
                </c:pt>
                <c:pt idx="27">
                  <c:v>-2.9411999275907874E-4</c:v>
                </c:pt>
                <c:pt idx="28">
                  <c:v>0</c:v>
                </c:pt>
                <c:pt idx="29">
                  <c:v>0</c:v>
                </c:pt>
                <c:pt idx="30">
                  <c:v>-6.7865599703509361E-4</c:v>
                </c:pt>
                <c:pt idx="31">
                  <c:v>-5.9331999364076182E-4</c:v>
                </c:pt>
                <c:pt idx="32">
                  <c:v>-4.9331999616697431E-4</c:v>
                </c:pt>
                <c:pt idx="33">
                  <c:v>-5.0130799354519695E-4</c:v>
                </c:pt>
                <c:pt idx="34">
                  <c:v>-6.0929599567316473E-4</c:v>
                </c:pt>
                <c:pt idx="35">
                  <c:v>-5.0929599819937721E-4</c:v>
                </c:pt>
                <c:pt idx="36">
                  <c:v>-2.053400021395646E-4</c:v>
                </c:pt>
                <c:pt idx="37">
                  <c:v>-4.5711200073128566E-4</c:v>
                </c:pt>
                <c:pt idx="38">
                  <c:v>-2.6509999588597566E-4</c:v>
                </c:pt>
                <c:pt idx="39">
                  <c:v>-5.2379199769347906E-4</c:v>
                </c:pt>
                <c:pt idx="40">
                  <c:v>-7.1277999086305499E-4</c:v>
                </c:pt>
                <c:pt idx="41">
                  <c:v>-5.2176799363223836E-4</c:v>
                </c:pt>
                <c:pt idx="42">
                  <c:v>-2.8636400384129956E-4</c:v>
                </c:pt>
                <c:pt idx="43">
                  <c:v>-4.8235199210466817E-4</c:v>
                </c:pt>
                <c:pt idx="44">
                  <c:v>-9.7683599597075954E-4</c:v>
                </c:pt>
                <c:pt idx="45">
                  <c:v>-1.5573119962937199E-3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5-45C9-8E90-0FDA888886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55-45C9-8E90-0FDA888886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55-45C9-8E90-0FDA888886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55-45C9-8E90-0FDA888886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4.5689876609112203E-4</c:v>
                </c:pt>
                <c:pt idx="1">
                  <c:v>3.2373987131533057E-4</c:v>
                </c:pt>
                <c:pt idx="2">
                  <c:v>3.2068948055141575E-4</c:v>
                </c:pt>
                <c:pt idx="3">
                  <c:v>3.2067910507262696E-4</c:v>
                </c:pt>
                <c:pt idx="4">
                  <c:v>3.2066872959383812E-4</c:v>
                </c:pt>
                <c:pt idx="5">
                  <c:v>3.2065835411504927E-4</c:v>
                </c:pt>
                <c:pt idx="6">
                  <c:v>3.2064797863626043E-4</c:v>
                </c:pt>
                <c:pt idx="7">
                  <c:v>2.8441680670568046E-4</c:v>
                </c:pt>
                <c:pt idx="8">
                  <c:v>9.0270847609170448E-5</c:v>
                </c:pt>
                <c:pt idx="9">
                  <c:v>1.4467599578008494E-5</c:v>
                </c:pt>
                <c:pt idx="10">
                  <c:v>1.4457224099219705E-5</c:v>
                </c:pt>
                <c:pt idx="11">
                  <c:v>1.4446848620430861E-5</c:v>
                </c:pt>
                <c:pt idx="12">
                  <c:v>3.5318449345860328E-6</c:v>
                </c:pt>
                <c:pt idx="13">
                  <c:v>-5.1696828658334172E-5</c:v>
                </c:pt>
                <c:pt idx="14">
                  <c:v>-5.1707204137123016E-5</c:v>
                </c:pt>
                <c:pt idx="15">
                  <c:v>-6.3846514320049276E-5</c:v>
                </c:pt>
                <c:pt idx="16">
                  <c:v>-6.3856889798838119E-5</c:v>
                </c:pt>
                <c:pt idx="17">
                  <c:v>-6.6087617738435701E-5</c:v>
                </c:pt>
                <c:pt idx="18">
                  <c:v>-6.6108368696013334E-5</c:v>
                </c:pt>
                <c:pt idx="19">
                  <c:v>-6.6129119653590967E-5</c:v>
                </c:pt>
                <c:pt idx="20">
                  <c:v>-2.108774242365009E-4</c:v>
                </c:pt>
                <c:pt idx="21">
                  <c:v>-2.1088779971528975E-4</c:v>
                </c:pt>
                <c:pt idx="22">
                  <c:v>-2.1190459663659469E-4</c:v>
                </c:pt>
                <c:pt idx="23">
                  <c:v>-2.1191497211538353E-4</c:v>
                </c:pt>
                <c:pt idx="24">
                  <c:v>-2.1211210621237123E-4</c:v>
                </c:pt>
                <c:pt idx="25">
                  <c:v>-2.1212248169116008E-4</c:v>
                </c:pt>
                <c:pt idx="26">
                  <c:v>-2.7855667237601219E-4</c:v>
                </c:pt>
                <c:pt idx="27">
                  <c:v>-3.431959052303975E-4</c:v>
                </c:pt>
                <c:pt idx="28">
                  <c:v>-3.5146516182509176E-4</c:v>
                </c:pt>
                <c:pt idx="29">
                  <c:v>-3.514755373038805E-4</c:v>
                </c:pt>
                <c:pt idx="30">
                  <c:v>-4.222778045588284E-4</c:v>
                </c:pt>
                <c:pt idx="31">
                  <c:v>-4.3034992705653495E-4</c:v>
                </c:pt>
                <c:pt idx="32">
                  <c:v>-4.3034992705653495E-4</c:v>
                </c:pt>
                <c:pt idx="33">
                  <c:v>-4.303603025353238E-4</c:v>
                </c:pt>
                <c:pt idx="34">
                  <c:v>-4.3037067801411253E-4</c:v>
                </c:pt>
                <c:pt idx="35">
                  <c:v>-4.3037067801411253E-4</c:v>
                </c:pt>
                <c:pt idx="36">
                  <c:v>-4.3724962045110414E-4</c:v>
                </c:pt>
                <c:pt idx="37">
                  <c:v>-4.3744675454809184E-4</c:v>
                </c:pt>
                <c:pt idx="38">
                  <c:v>-4.3745713002688068E-4</c:v>
                </c:pt>
                <c:pt idx="39">
                  <c:v>-5.1640414813105683E-4</c:v>
                </c:pt>
                <c:pt idx="40">
                  <c:v>-5.1641452360984567E-4</c:v>
                </c:pt>
                <c:pt idx="41">
                  <c:v>-5.1642489908863452E-4</c:v>
                </c:pt>
                <c:pt idx="42">
                  <c:v>-5.1763883010692716E-4</c:v>
                </c:pt>
                <c:pt idx="43">
                  <c:v>-5.1764920558571589E-4</c:v>
                </c:pt>
                <c:pt idx="44">
                  <c:v>-6.6594592391440433E-4</c:v>
                </c:pt>
                <c:pt idx="45">
                  <c:v>-1.1289724158233374E-3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55-45C9-8E90-0FDA888886A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5.8925120029016398E-3</c:v>
                </c:pt>
                <c:pt idx="26">
                  <c:v>-6.5288799960399047E-3</c:v>
                </c:pt>
                <c:pt idx="28">
                  <c:v>-5.8605559970601462E-3</c:v>
                </c:pt>
                <c:pt idx="29">
                  <c:v>-6.0685439966619015E-3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55-45C9-8E90-0FDA8888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7776"/>
        <c:axId val="1"/>
      </c:scatterChart>
      <c:valAx>
        <c:axId val="84685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73F62-3192-F22B-1F26-00EFC0225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vsolj.cetus-net.org/vsoljno50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solj.cetus-net.org/vsoljno50.pdf" TargetMode="External"/><Relationship Id="rId25" Type="http://schemas.openxmlformats.org/officeDocument/2006/relationships/hyperlink" Target="http://www.konkoly.hu/cgi-bin/IBVS?6133" TargetMode="External"/><Relationship Id="rId33" Type="http://schemas.openxmlformats.org/officeDocument/2006/relationships/hyperlink" Target="http://www.konkoly.hu/cgi-bin/IBVS?6133" TargetMode="External"/><Relationship Id="rId2" Type="http://schemas.openxmlformats.org/officeDocument/2006/relationships/hyperlink" Target="http://vsolj.cetus-net.org/no45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www.konkoly.hu/cgi-bin/IBVS?6133" TargetMode="External"/><Relationship Id="rId1" Type="http://schemas.openxmlformats.org/officeDocument/2006/relationships/hyperlink" Target="http://vsolj.cetus-net.org/no44.pdf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konkoly.hu/cgi-bin/IBVS?6131" TargetMode="External"/><Relationship Id="rId32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konkoly.hu/cgi-bin/IBVS?6131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vsolj.cetus-net.org/vsoljno51.pdf" TargetMode="External"/><Relationship Id="rId31" Type="http://schemas.openxmlformats.org/officeDocument/2006/relationships/hyperlink" Target="http://www.konkoly.hu/cgi-bin/IBVS?6133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133" TargetMode="External"/><Relationship Id="rId30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37" customFormat="1" ht="20.25" x14ac:dyDescent="0.2">
      <c r="A1" s="68" t="s">
        <v>37</v>
      </c>
      <c r="F1" s="38">
        <v>52500.059399999998</v>
      </c>
      <c r="G1" s="38">
        <v>0.10101597599999999</v>
      </c>
      <c r="H1" s="38" t="s">
        <v>38</v>
      </c>
    </row>
    <row r="2" spans="1:8" s="37" customFormat="1" ht="12.95" customHeight="1" x14ac:dyDescent="0.2">
      <c r="A2" s="37" t="s">
        <v>23</v>
      </c>
      <c r="B2" s="37" t="str">
        <f>H1</f>
        <v>EA</v>
      </c>
      <c r="C2" s="38"/>
      <c r="D2" s="38"/>
    </row>
    <row r="3" spans="1:8" s="37" customFormat="1" ht="12.95" customHeight="1" thickBot="1" x14ac:dyDescent="0.25"/>
    <row r="4" spans="1:8" s="37" customFormat="1" ht="12.95" customHeight="1" thickTop="1" thickBot="1" x14ac:dyDescent="0.25">
      <c r="A4" s="39" t="s">
        <v>36</v>
      </c>
      <c r="C4" s="40">
        <f>F1</f>
        <v>52500.059399999998</v>
      </c>
      <c r="D4" s="41">
        <f>G1</f>
        <v>0.10101597599999999</v>
      </c>
    </row>
    <row r="5" spans="1:8" s="37" customFormat="1" ht="12.95" customHeight="1" thickTop="1" x14ac:dyDescent="0.2">
      <c r="A5" s="42" t="s">
        <v>28</v>
      </c>
      <c r="C5" s="43">
        <v>-9.5</v>
      </c>
      <c r="D5" s="37" t="s">
        <v>29</v>
      </c>
    </row>
    <row r="6" spans="1:8" s="37" customFormat="1" ht="12.95" customHeight="1" x14ac:dyDescent="0.2">
      <c r="A6" s="39" t="s">
        <v>1</v>
      </c>
    </row>
    <row r="7" spans="1:8" s="37" customFormat="1" ht="12.95" customHeight="1" x14ac:dyDescent="0.2">
      <c r="A7" s="37" t="s">
        <v>2</v>
      </c>
      <c r="C7" s="37">
        <f>C4</f>
        <v>52500.059399999998</v>
      </c>
    </row>
    <row r="8" spans="1:8" s="37" customFormat="1" ht="12.95" customHeight="1" x14ac:dyDescent="0.2">
      <c r="A8" s="37" t="s">
        <v>3</v>
      </c>
      <c r="C8" s="37">
        <f>D4</f>
        <v>0.10101597599999999</v>
      </c>
      <c r="D8" s="43"/>
    </row>
    <row r="9" spans="1:8" s="37" customFormat="1" ht="12.95" customHeight="1" x14ac:dyDescent="0.2">
      <c r="A9" s="44" t="s">
        <v>33</v>
      </c>
      <c r="B9" s="45">
        <v>21</v>
      </c>
      <c r="C9" s="46" t="str">
        <f>"F"&amp;B9</f>
        <v>F21</v>
      </c>
      <c r="D9" s="47" t="str">
        <f>"G"&amp;B9</f>
        <v>G21</v>
      </c>
    </row>
    <row r="10" spans="1:8" s="37" customFormat="1" ht="12.95" customHeight="1" thickBot="1" x14ac:dyDescent="0.25">
      <c r="C10" s="48" t="s">
        <v>19</v>
      </c>
      <c r="D10" s="48" t="s">
        <v>20</v>
      </c>
    </row>
    <row r="11" spans="1:8" s="37" customFormat="1" ht="12.95" customHeight="1" x14ac:dyDescent="0.2">
      <c r="A11" s="37" t="s">
        <v>15</v>
      </c>
      <c r="C11" s="47">
        <f ca="1">INTERCEPT(INDIRECT($D$9):G992,INDIRECT($C$9):F992)</f>
        <v>2.8441680670568046E-4</v>
      </c>
      <c r="D11" s="38"/>
    </row>
    <row r="12" spans="1:8" s="37" customFormat="1" ht="12.95" customHeight="1" x14ac:dyDescent="0.2">
      <c r="A12" s="37" t="s">
        <v>16</v>
      </c>
      <c r="C12" s="47">
        <f ca="1">SLOPE(INDIRECT($D$9):G992,INDIRECT($C$9):F992)</f>
        <v>-2.0750957577651775E-8</v>
      </c>
      <c r="D12" s="38"/>
    </row>
    <row r="13" spans="1:8" s="37" customFormat="1" ht="12.95" customHeight="1" x14ac:dyDescent="0.2">
      <c r="A13" s="37" t="s">
        <v>18</v>
      </c>
      <c r="C13" s="38" t="s">
        <v>13</v>
      </c>
    </row>
    <row r="14" spans="1:8" s="37" customFormat="1" ht="12.95" customHeight="1" x14ac:dyDescent="0.2"/>
    <row r="15" spans="1:8" s="37" customFormat="1" ht="12.95" customHeight="1" x14ac:dyDescent="0.2">
      <c r="A15" s="49" t="s">
        <v>17</v>
      </c>
      <c r="C15" s="50">
        <f ca="1">(C7+C11)+(C8+C12)*INT(MAX(F21:F3533))</f>
        <v>59380.458428339582</v>
      </c>
      <c r="E15" s="51" t="s">
        <v>41</v>
      </c>
      <c r="F15" s="43">
        <v>1</v>
      </c>
    </row>
    <row r="16" spans="1:8" s="37" customFormat="1" ht="12.95" customHeight="1" x14ac:dyDescent="0.2">
      <c r="A16" s="39" t="s">
        <v>4</v>
      </c>
      <c r="C16" s="52">
        <f ca="1">+C8+C12</f>
        <v>0.10101595524904242</v>
      </c>
      <c r="E16" s="51" t="s">
        <v>30</v>
      </c>
      <c r="F16" s="53">
        <f ca="1">NOW()+15018.5+$C$5/24</f>
        <v>60378.799284259258</v>
      </c>
    </row>
    <row r="17" spans="1:21" s="37" customFormat="1" ht="12.95" customHeight="1" thickBot="1" x14ac:dyDescent="0.25">
      <c r="A17" s="51" t="s">
        <v>27</v>
      </c>
      <c r="C17" s="37">
        <f>COUNT(C21:C2191)</f>
        <v>46</v>
      </c>
      <c r="E17" s="51" t="s">
        <v>42</v>
      </c>
      <c r="F17" s="53">
        <f ca="1">ROUND(2*(F16-$C$7)/$C$8,0)/2+F15</f>
        <v>77996</v>
      </c>
    </row>
    <row r="18" spans="1:21" s="37" customFormat="1" ht="12.95" customHeight="1" thickTop="1" thickBot="1" x14ac:dyDescent="0.25">
      <c r="A18" s="39" t="s">
        <v>5</v>
      </c>
      <c r="C18" s="54">
        <f ca="1">+C15</f>
        <v>59380.458428339582</v>
      </c>
      <c r="D18" s="55">
        <f ca="1">+C16</f>
        <v>0.10101595524904242</v>
      </c>
      <c r="E18" s="51" t="s">
        <v>31</v>
      </c>
      <c r="F18" s="47">
        <f ca="1">ROUND(2*(F16-$C$15)/$C$16,0)/2+F15</f>
        <v>9884</v>
      </c>
    </row>
    <row r="19" spans="1:21" s="37" customFormat="1" ht="12.95" customHeight="1" thickTop="1" x14ac:dyDescent="0.2">
      <c r="E19" s="51" t="s">
        <v>32</v>
      </c>
      <c r="F19" s="56">
        <f ca="1">+$C$15+$C$16*F18-15018.5-$C$5/24</f>
        <v>45360.795963354452</v>
      </c>
    </row>
    <row r="20" spans="1:21" s="37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12</v>
      </c>
      <c r="E20" s="48" t="s">
        <v>9</v>
      </c>
      <c r="F20" s="48" t="s">
        <v>10</v>
      </c>
      <c r="G20" s="48" t="s">
        <v>11</v>
      </c>
      <c r="H20" s="57" t="s">
        <v>57</v>
      </c>
      <c r="I20" s="57" t="s">
        <v>60</v>
      </c>
      <c r="J20" s="57" t="s">
        <v>54</v>
      </c>
      <c r="K20" s="57" t="s">
        <v>52</v>
      </c>
      <c r="L20" s="57" t="s">
        <v>24</v>
      </c>
      <c r="M20" s="57" t="s">
        <v>25</v>
      </c>
      <c r="N20" s="57" t="s">
        <v>26</v>
      </c>
      <c r="O20" s="57" t="s">
        <v>22</v>
      </c>
      <c r="P20" s="58" t="s">
        <v>21</v>
      </c>
      <c r="Q20" s="48" t="s">
        <v>14</v>
      </c>
      <c r="U20" s="59" t="s">
        <v>49</v>
      </c>
    </row>
    <row r="21" spans="1:21" s="37" customFormat="1" ht="12.95" customHeight="1" x14ac:dyDescent="0.2">
      <c r="A21" s="60" t="s">
        <v>67</v>
      </c>
      <c r="B21" s="61" t="s">
        <v>34</v>
      </c>
      <c r="C21" s="62">
        <v>51660.4205</v>
      </c>
      <c r="D21" s="63"/>
      <c r="E21" s="37">
        <f t="shared" ref="E21:E64" si="0">+(C21-C$7)/C$8</f>
        <v>-8311.941667523939</v>
      </c>
      <c r="F21" s="37">
        <f t="shared" ref="F21:F65" si="1">ROUND(2*E21,0)/2</f>
        <v>-8312</v>
      </c>
      <c r="O21" s="37">
        <f t="shared" ref="O21:O64" ca="1" si="2">+C$11+C$12*$F21</f>
        <v>4.5689876609112203E-4</v>
      </c>
      <c r="Q21" s="64">
        <f t="shared" ref="Q21:Q64" si="3">+C21-15018.5</f>
        <v>36641.9205</v>
      </c>
      <c r="U21" s="37">
        <f>+C21-(C$7+F21*C$8)</f>
        <v>5.8925120029016398E-3</v>
      </c>
    </row>
    <row r="22" spans="1:21" s="37" customFormat="1" ht="12.95" customHeight="1" x14ac:dyDescent="0.2">
      <c r="A22" s="60" t="s">
        <v>71</v>
      </c>
      <c r="B22" s="61" t="s">
        <v>34</v>
      </c>
      <c r="C22" s="62">
        <v>52308.632599999997</v>
      </c>
      <c r="D22" s="63"/>
      <c r="E22" s="37">
        <f t="shared" si="0"/>
        <v>-1895.0151013736788</v>
      </c>
      <c r="F22" s="37">
        <f t="shared" si="1"/>
        <v>-1895</v>
      </c>
      <c r="G22" s="37">
        <f t="shared" ref="G22:G46" si="4">+C22-(C$7+F22*C$8)</f>
        <v>-1.5254800018738024E-3</v>
      </c>
      <c r="K22" s="37">
        <f t="shared" ref="K22:K27" si="5">+G22</f>
        <v>-1.5254800018738024E-3</v>
      </c>
      <c r="O22" s="37">
        <f t="shared" ca="1" si="2"/>
        <v>3.2373987131533057E-4</v>
      </c>
      <c r="Q22" s="64">
        <f t="shared" si="3"/>
        <v>37290.132599999997</v>
      </c>
    </row>
    <row r="23" spans="1:21" s="37" customFormat="1" ht="12.95" customHeight="1" x14ac:dyDescent="0.2">
      <c r="A23" s="60" t="s">
        <v>71</v>
      </c>
      <c r="B23" s="61" t="s">
        <v>34</v>
      </c>
      <c r="C23" s="62">
        <v>52323.4836</v>
      </c>
      <c r="D23" s="63"/>
      <c r="E23" s="37">
        <f t="shared" si="0"/>
        <v>-1747.9987521973626</v>
      </c>
      <c r="F23" s="37">
        <f t="shared" si="1"/>
        <v>-1748</v>
      </c>
      <c r="G23" s="37">
        <f t="shared" si="4"/>
        <v>1.2604799849214032E-4</v>
      </c>
      <c r="K23" s="37">
        <f t="shared" si="5"/>
        <v>1.2604799849214032E-4</v>
      </c>
      <c r="O23" s="37">
        <f t="shared" ca="1" si="2"/>
        <v>3.2068948055141575E-4</v>
      </c>
      <c r="Q23" s="64">
        <f t="shared" si="3"/>
        <v>37304.9836</v>
      </c>
    </row>
    <row r="24" spans="1:21" s="37" customFormat="1" ht="12.95" customHeight="1" x14ac:dyDescent="0.2">
      <c r="A24" s="60" t="s">
        <v>71</v>
      </c>
      <c r="B24" s="61" t="s">
        <v>44</v>
      </c>
      <c r="C24" s="62">
        <v>52323.535000000003</v>
      </c>
      <c r="D24" s="63"/>
      <c r="E24" s="37">
        <f t="shared" si="0"/>
        <v>-1747.4899217921213</v>
      </c>
      <c r="F24" s="37">
        <f t="shared" si="1"/>
        <v>-1747.5</v>
      </c>
      <c r="G24" s="37">
        <f t="shared" si="4"/>
        <v>1.0180600074818358E-3</v>
      </c>
      <c r="K24" s="37">
        <f t="shared" si="5"/>
        <v>1.0180600074818358E-3</v>
      </c>
      <c r="O24" s="37">
        <f t="shared" ca="1" si="2"/>
        <v>3.2067910507262696E-4</v>
      </c>
      <c r="Q24" s="64">
        <f t="shared" si="3"/>
        <v>37305.035000000003</v>
      </c>
    </row>
    <row r="25" spans="1:21" s="37" customFormat="1" ht="12.95" customHeight="1" x14ac:dyDescent="0.2">
      <c r="A25" s="60" t="s">
        <v>71</v>
      </c>
      <c r="B25" s="61" t="s">
        <v>34</v>
      </c>
      <c r="C25" s="62">
        <v>52323.584499999997</v>
      </c>
      <c r="D25" s="63"/>
      <c r="E25" s="37">
        <f t="shared" si="0"/>
        <v>-1746.9999002930099</v>
      </c>
      <c r="F25" s="37">
        <f t="shared" si="1"/>
        <v>-1747</v>
      </c>
      <c r="G25" s="37">
        <f t="shared" si="4"/>
        <v>1.0071998985949904E-5</v>
      </c>
      <c r="K25" s="37">
        <f t="shared" si="5"/>
        <v>1.0071998985949904E-5</v>
      </c>
      <c r="O25" s="37">
        <f t="shared" ca="1" si="2"/>
        <v>3.2066872959383812E-4</v>
      </c>
      <c r="Q25" s="64">
        <f t="shared" si="3"/>
        <v>37305.084499999997</v>
      </c>
    </row>
    <row r="26" spans="1:21" s="37" customFormat="1" ht="12.95" customHeight="1" x14ac:dyDescent="0.2">
      <c r="A26" s="60" t="s">
        <v>71</v>
      </c>
      <c r="B26" s="61" t="s">
        <v>44</v>
      </c>
      <c r="C26" s="62">
        <v>52323.635300000002</v>
      </c>
      <c r="D26" s="63"/>
      <c r="E26" s="37">
        <f t="shared" si="0"/>
        <v>-1746.497009542298</v>
      </c>
      <c r="F26" s="37">
        <f t="shared" si="1"/>
        <v>-1746.5</v>
      </c>
      <c r="G26" s="37">
        <f t="shared" si="4"/>
        <v>3.0208400130504742E-4</v>
      </c>
      <c r="K26" s="37">
        <f t="shared" si="5"/>
        <v>3.0208400130504742E-4</v>
      </c>
      <c r="O26" s="37">
        <f t="shared" ca="1" si="2"/>
        <v>3.2065835411504927E-4</v>
      </c>
      <c r="Q26" s="64">
        <f t="shared" si="3"/>
        <v>37305.135300000002</v>
      </c>
    </row>
    <row r="27" spans="1:21" s="37" customFormat="1" ht="12.95" customHeight="1" x14ac:dyDescent="0.2">
      <c r="A27" s="60" t="s">
        <v>71</v>
      </c>
      <c r="B27" s="61" t="s">
        <v>34</v>
      </c>
      <c r="C27" s="62">
        <v>52323.6855</v>
      </c>
      <c r="D27" s="63"/>
      <c r="E27" s="37">
        <f t="shared" si="0"/>
        <v>-1746.0000584461877</v>
      </c>
      <c r="F27" s="37">
        <f t="shared" si="1"/>
        <v>-1746</v>
      </c>
      <c r="G27" s="37">
        <f t="shared" si="4"/>
        <v>-5.9039957704953849E-6</v>
      </c>
      <c r="K27" s="37">
        <f t="shared" si="5"/>
        <v>-5.9039957704953849E-6</v>
      </c>
      <c r="O27" s="37">
        <f t="shared" ca="1" si="2"/>
        <v>3.2064797863626043E-4</v>
      </c>
      <c r="Q27" s="64">
        <f t="shared" si="3"/>
        <v>37305.1855</v>
      </c>
    </row>
    <row r="28" spans="1:21" s="37" customFormat="1" ht="12.95" customHeight="1" x14ac:dyDescent="0.2">
      <c r="A28" s="8" t="s">
        <v>35</v>
      </c>
      <c r="B28" s="9" t="s">
        <v>34</v>
      </c>
      <c r="C28" s="8">
        <v>52500.059399999998</v>
      </c>
      <c r="D28" s="65"/>
      <c r="E28" s="37">
        <f t="shared" si="0"/>
        <v>0</v>
      </c>
      <c r="F28" s="37">
        <f t="shared" si="1"/>
        <v>0</v>
      </c>
      <c r="G28" s="37">
        <f t="shared" si="4"/>
        <v>0</v>
      </c>
      <c r="H28" s="37">
        <f>+G28</f>
        <v>0</v>
      </c>
      <c r="K28" s="37">
        <f t="shared" ref="K28:K65" si="6">+G28</f>
        <v>0</v>
      </c>
      <c r="O28" s="37">
        <f t="shared" ca="1" si="2"/>
        <v>2.8441680670568046E-4</v>
      </c>
      <c r="Q28" s="64">
        <f t="shared" si="3"/>
        <v>37481.559399999998</v>
      </c>
    </row>
    <row r="29" spans="1:21" s="37" customFormat="1" ht="12.95" customHeight="1" x14ac:dyDescent="0.2">
      <c r="A29" s="60" t="s">
        <v>90</v>
      </c>
      <c r="B29" s="61" t="s">
        <v>34</v>
      </c>
      <c r="C29" s="62">
        <v>53445.165300000001</v>
      </c>
      <c r="D29" s="63"/>
      <c r="E29" s="37">
        <f t="shared" si="0"/>
        <v>9356.0042423388786</v>
      </c>
      <c r="F29" s="37">
        <f t="shared" si="1"/>
        <v>9356</v>
      </c>
      <c r="G29" s="37">
        <f t="shared" si="4"/>
        <v>4.2854400089709088E-4</v>
      </c>
      <c r="K29" s="37">
        <f t="shared" si="6"/>
        <v>4.2854400089709088E-4</v>
      </c>
      <c r="O29" s="37">
        <f t="shared" ca="1" si="2"/>
        <v>9.0270847609170448E-5</v>
      </c>
      <c r="Q29" s="64">
        <f t="shared" si="3"/>
        <v>38426.665300000001</v>
      </c>
    </row>
    <row r="30" spans="1:21" s="37" customFormat="1" ht="12.95" customHeight="1" x14ac:dyDescent="0.2">
      <c r="A30" s="60" t="s">
        <v>95</v>
      </c>
      <c r="B30" s="61" t="s">
        <v>34</v>
      </c>
      <c r="C30" s="62">
        <v>53814.176399999997</v>
      </c>
      <c r="D30" s="63"/>
      <c r="E30" s="37">
        <f t="shared" si="0"/>
        <v>13009.001665241531</v>
      </c>
      <c r="F30" s="37">
        <f t="shared" si="1"/>
        <v>13009</v>
      </c>
      <c r="G30" s="37">
        <f t="shared" si="4"/>
        <v>1.6821600002003834E-4</v>
      </c>
      <c r="K30" s="37">
        <f t="shared" si="6"/>
        <v>1.6821600002003834E-4</v>
      </c>
      <c r="O30" s="37">
        <f t="shared" ca="1" si="2"/>
        <v>1.4467599578008494E-5</v>
      </c>
      <c r="Q30" s="64">
        <f t="shared" si="3"/>
        <v>38795.676399999997</v>
      </c>
    </row>
    <row r="31" spans="1:21" s="37" customFormat="1" ht="12.95" customHeight="1" x14ac:dyDescent="0.2">
      <c r="A31" s="60" t="s">
        <v>95</v>
      </c>
      <c r="B31" s="61" t="s">
        <v>44</v>
      </c>
      <c r="C31" s="62">
        <v>53814.226799999997</v>
      </c>
      <c r="D31" s="63"/>
      <c r="E31" s="37">
        <f t="shared" si="0"/>
        <v>13009.500596222508</v>
      </c>
      <c r="F31" s="37">
        <f t="shared" si="1"/>
        <v>13009.5</v>
      </c>
      <c r="G31" s="37">
        <f t="shared" si="4"/>
        <v>6.0227997892070562E-5</v>
      </c>
      <c r="K31" s="37">
        <f t="shared" si="6"/>
        <v>6.0227997892070562E-5</v>
      </c>
      <c r="O31" s="37">
        <f t="shared" ca="1" si="2"/>
        <v>1.4457224099219705E-5</v>
      </c>
      <c r="Q31" s="64">
        <f t="shared" si="3"/>
        <v>38795.726799999997</v>
      </c>
    </row>
    <row r="32" spans="1:21" s="37" customFormat="1" ht="12.95" customHeight="1" x14ac:dyDescent="0.2">
      <c r="A32" s="60" t="s">
        <v>95</v>
      </c>
      <c r="B32" s="61" t="s">
        <v>34</v>
      </c>
      <c r="C32" s="62">
        <v>53814.277399999999</v>
      </c>
      <c r="D32" s="63"/>
      <c r="E32" s="37">
        <f t="shared" si="0"/>
        <v>13010.001507088353</v>
      </c>
      <c r="F32" s="37">
        <f t="shared" si="1"/>
        <v>13010</v>
      </c>
      <c r="G32" s="37">
        <f t="shared" si="4"/>
        <v>1.5223999798763543E-4</v>
      </c>
      <c r="K32" s="37">
        <f t="shared" si="6"/>
        <v>1.5223999798763543E-4</v>
      </c>
      <c r="O32" s="37">
        <f t="shared" ca="1" si="2"/>
        <v>1.4446848620430861E-5</v>
      </c>
      <c r="Q32" s="64">
        <f t="shared" si="3"/>
        <v>38795.777399999999</v>
      </c>
    </row>
    <row r="33" spans="1:21" s="37" customFormat="1" ht="12.95" customHeight="1" x14ac:dyDescent="0.2">
      <c r="A33" s="8" t="s">
        <v>39</v>
      </c>
      <c r="B33" s="66"/>
      <c r="C33" s="8">
        <v>53867.411800000002</v>
      </c>
      <c r="D33" s="8">
        <v>2.0000000000000001E-4</v>
      </c>
      <c r="E33" s="37">
        <f t="shared" si="0"/>
        <v>13536.001473667922</v>
      </c>
      <c r="F33" s="37">
        <f t="shared" si="1"/>
        <v>13536</v>
      </c>
      <c r="G33" s="37">
        <f t="shared" si="4"/>
        <v>1.4886400458635762E-4</v>
      </c>
      <c r="J33" s="37">
        <f>+G33</f>
        <v>1.4886400458635762E-4</v>
      </c>
      <c r="O33" s="37">
        <f t="shared" ca="1" si="2"/>
        <v>3.5318449345860328E-6</v>
      </c>
      <c r="Q33" s="64">
        <f t="shared" si="3"/>
        <v>38848.911800000002</v>
      </c>
      <c r="U33" s="67"/>
    </row>
    <row r="34" spans="1:21" s="37" customFormat="1" ht="12.95" customHeight="1" x14ac:dyDescent="0.2">
      <c r="A34" s="60" t="s">
        <v>111</v>
      </c>
      <c r="B34" s="61" t="s">
        <v>44</v>
      </c>
      <c r="C34" s="62">
        <v>54136.265299999999</v>
      </c>
      <c r="D34" s="63"/>
      <c r="E34" s="37">
        <f t="shared" si="0"/>
        <v>16197.496324739772</v>
      </c>
      <c r="F34" s="37">
        <f t="shared" si="1"/>
        <v>16197.5</v>
      </c>
      <c r="G34" s="37">
        <f t="shared" si="4"/>
        <v>-3.7126000097487122E-4</v>
      </c>
      <c r="K34" s="37">
        <f t="shared" si="6"/>
        <v>-3.7126000097487122E-4</v>
      </c>
      <c r="O34" s="37">
        <f t="shared" ca="1" si="2"/>
        <v>-5.1696828658334172E-5</v>
      </c>
      <c r="Q34" s="64">
        <f t="shared" si="3"/>
        <v>39117.765299999999</v>
      </c>
    </row>
    <row r="35" spans="1:21" x14ac:dyDescent="0.2">
      <c r="A35" s="25" t="s">
        <v>111</v>
      </c>
      <c r="B35" s="27" t="s">
        <v>34</v>
      </c>
      <c r="C35" s="26">
        <v>54136.316099999996</v>
      </c>
      <c r="D35" s="3"/>
      <c r="E35">
        <f t="shared" si="0"/>
        <v>16197.99921549041</v>
      </c>
      <c r="F35">
        <f t="shared" si="1"/>
        <v>16198</v>
      </c>
      <c r="G35">
        <f t="shared" si="4"/>
        <v>-7.9247998655773699E-5</v>
      </c>
      <c r="K35">
        <f t="shared" si="6"/>
        <v>-7.9247998655773699E-5</v>
      </c>
      <c r="O35">
        <f t="shared" ca="1" si="2"/>
        <v>-5.1707204137123016E-5</v>
      </c>
      <c r="Q35" s="1">
        <f t="shared" si="3"/>
        <v>39117.816099999996</v>
      </c>
    </row>
    <row r="36" spans="1:21" x14ac:dyDescent="0.2">
      <c r="A36" s="8" t="s">
        <v>43</v>
      </c>
      <c r="B36" s="9" t="s">
        <v>34</v>
      </c>
      <c r="C36" s="8">
        <v>54195.410660000001</v>
      </c>
      <c r="D36" s="8">
        <v>6.0000000000000002E-5</v>
      </c>
      <c r="E36">
        <f t="shared" si="0"/>
        <v>16783.001334363224</v>
      </c>
      <c r="F36">
        <f t="shared" si="1"/>
        <v>16783</v>
      </c>
      <c r="G36">
        <f t="shared" si="4"/>
        <v>1.347920042462647E-4</v>
      </c>
      <c r="K36">
        <f t="shared" si="6"/>
        <v>1.347920042462647E-4</v>
      </c>
      <c r="O36">
        <f t="shared" ca="1" si="2"/>
        <v>-6.3846514320049276E-5</v>
      </c>
      <c r="Q36" s="1">
        <f t="shared" si="3"/>
        <v>39176.910660000001</v>
      </c>
      <c r="U36" s="11"/>
    </row>
    <row r="37" spans="1:21" x14ac:dyDescent="0.2">
      <c r="A37" s="8" t="s">
        <v>43</v>
      </c>
      <c r="B37" s="9" t="s">
        <v>44</v>
      </c>
      <c r="C37" s="8">
        <v>54195.461219999997</v>
      </c>
      <c r="D37" s="8">
        <v>2.1000000000000001E-4</v>
      </c>
      <c r="E37">
        <f t="shared" si="0"/>
        <v>16783.501849252036</v>
      </c>
      <c r="F37">
        <f t="shared" si="1"/>
        <v>16783.5</v>
      </c>
      <c r="G37">
        <f t="shared" si="4"/>
        <v>1.8680399807635695E-4</v>
      </c>
      <c r="K37">
        <f t="shared" si="6"/>
        <v>1.8680399807635695E-4</v>
      </c>
      <c r="O37">
        <f t="shared" ca="1" si="2"/>
        <v>-6.3856889798838119E-5</v>
      </c>
      <c r="Q37" s="1">
        <f t="shared" si="3"/>
        <v>39176.961219999997</v>
      </c>
      <c r="U37" s="11"/>
    </row>
    <row r="38" spans="1:21" x14ac:dyDescent="0.2">
      <c r="A38" s="6" t="s">
        <v>40</v>
      </c>
      <c r="B38" s="7"/>
      <c r="C38" s="6">
        <v>54206.321400000001</v>
      </c>
      <c r="D38" s="6">
        <v>1.5E-3</v>
      </c>
      <c r="E38">
        <f t="shared" si="0"/>
        <v>16891.01137823984</v>
      </c>
      <c r="F38">
        <f t="shared" si="1"/>
        <v>16891</v>
      </c>
      <c r="G38">
        <f t="shared" si="4"/>
        <v>1.1493839992908761E-3</v>
      </c>
      <c r="J38">
        <f>+G38</f>
        <v>1.1493839992908761E-3</v>
      </c>
      <c r="O38">
        <f t="shared" ca="1" si="2"/>
        <v>-6.6087617738435701E-5</v>
      </c>
      <c r="Q38" s="1">
        <f t="shared" si="3"/>
        <v>39187.821400000001</v>
      </c>
      <c r="U38" s="11"/>
    </row>
    <row r="39" spans="1:21" x14ac:dyDescent="0.2">
      <c r="A39" s="6" t="s">
        <v>40</v>
      </c>
      <c r="B39" s="7"/>
      <c r="C39" s="6">
        <v>54206.422100000003</v>
      </c>
      <c r="D39" s="6">
        <v>1.5E-3</v>
      </c>
      <c r="E39">
        <f t="shared" si="0"/>
        <v>16892.008250259398</v>
      </c>
      <c r="F39">
        <f t="shared" si="1"/>
        <v>16892</v>
      </c>
      <c r="G39">
        <f t="shared" si="4"/>
        <v>8.3340800483711064E-4</v>
      </c>
      <c r="J39">
        <f>+G39</f>
        <v>8.3340800483711064E-4</v>
      </c>
      <c r="O39">
        <f t="shared" ca="1" si="2"/>
        <v>-6.6108368696013334E-5</v>
      </c>
      <c r="Q39" s="1">
        <f t="shared" si="3"/>
        <v>39187.922100000003</v>
      </c>
      <c r="U39" s="11"/>
    </row>
    <row r="40" spans="1:21" x14ac:dyDescent="0.2">
      <c r="A40" s="6" t="s">
        <v>40</v>
      </c>
      <c r="B40" s="7"/>
      <c r="C40" s="6">
        <v>54206.522799999999</v>
      </c>
      <c r="D40" s="6">
        <v>1.5E-3</v>
      </c>
      <c r="E40">
        <f t="shared" si="0"/>
        <v>16893.005122278882</v>
      </c>
      <c r="F40">
        <f t="shared" si="1"/>
        <v>16893</v>
      </c>
      <c r="G40">
        <f t="shared" si="4"/>
        <v>5.1743200310738757E-4</v>
      </c>
      <c r="J40">
        <f>+G40</f>
        <v>5.1743200310738757E-4</v>
      </c>
      <c r="O40">
        <f t="shared" ca="1" si="2"/>
        <v>-6.6129119653590967E-5</v>
      </c>
      <c r="Q40" s="1">
        <f t="shared" si="3"/>
        <v>39188.022799999999</v>
      </c>
      <c r="U40" s="11"/>
    </row>
    <row r="41" spans="1:21" x14ac:dyDescent="0.2">
      <c r="A41" s="25" t="s">
        <v>144</v>
      </c>
      <c r="B41" s="27" t="s">
        <v>44</v>
      </c>
      <c r="C41" s="26">
        <v>54911.159500000002</v>
      </c>
      <c r="D41" s="3"/>
      <c r="E41">
        <f t="shared" si="0"/>
        <v>23868.502740596236</v>
      </c>
      <c r="F41">
        <f t="shared" si="1"/>
        <v>23868.5</v>
      </c>
      <c r="G41">
        <f t="shared" si="4"/>
        <v>2.768440026557073E-4</v>
      </c>
      <c r="K41">
        <f t="shared" si="6"/>
        <v>2.768440026557073E-4</v>
      </c>
      <c r="O41">
        <f t="shared" ca="1" si="2"/>
        <v>-2.108774242365009E-4</v>
      </c>
      <c r="Q41" s="1">
        <f t="shared" si="3"/>
        <v>39892.659500000002</v>
      </c>
    </row>
    <row r="42" spans="1:21" x14ac:dyDescent="0.2">
      <c r="A42" s="25" t="s">
        <v>144</v>
      </c>
      <c r="B42" s="27" t="s">
        <v>34</v>
      </c>
      <c r="C42" s="26">
        <v>54911.209600000002</v>
      </c>
      <c r="D42" s="3"/>
      <c r="E42">
        <f t="shared" si="0"/>
        <v>23868.998701749948</v>
      </c>
      <c r="F42">
        <f t="shared" si="1"/>
        <v>23869</v>
      </c>
      <c r="G42">
        <f t="shared" si="4"/>
        <v>-1.3114399916958064E-4</v>
      </c>
      <c r="K42">
        <f t="shared" si="6"/>
        <v>-1.3114399916958064E-4</v>
      </c>
      <c r="O42">
        <f t="shared" ca="1" si="2"/>
        <v>-2.1088779971528975E-4</v>
      </c>
      <c r="Q42" s="1">
        <f t="shared" si="3"/>
        <v>39892.709600000002</v>
      </c>
    </row>
    <row r="43" spans="1:21" x14ac:dyDescent="0.2">
      <c r="A43" s="25" t="s">
        <v>144</v>
      </c>
      <c r="B43" s="27" t="s">
        <v>34</v>
      </c>
      <c r="C43" s="26">
        <v>54916.159399999997</v>
      </c>
      <c r="D43" s="3"/>
      <c r="E43">
        <f t="shared" si="0"/>
        <v>23917.998871782405</v>
      </c>
      <c r="F43">
        <f t="shared" si="1"/>
        <v>23918</v>
      </c>
      <c r="G43">
        <f t="shared" si="4"/>
        <v>-1.1396800255170092E-4</v>
      </c>
      <c r="K43">
        <f t="shared" si="6"/>
        <v>-1.1396800255170092E-4</v>
      </c>
      <c r="O43">
        <f t="shared" ca="1" si="2"/>
        <v>-2.1190459663659469E-4</v>
      </c>
      <c r="Q43" s="1">
        <f t="shared" si="3"/>
        <v>39897.659399999997</v>
      </c>
    </row>
    <row r="44" spans="1:21" x14ac:dyDescent="0.2">
      <c r="A44" s="25" t="s">
        <v>144</v>
      </c>
      <c r="B44" s="27" t="s">
        <v>44</v>
      </c>
      <c r="C44" s="26">
        <v>54916.209799999997</v>
      </c>
      <c r="D44" s="3"/>
      <c r="E44">
        <f t="shared" si="0"/>
        <v>23918.497802763384</v>
      </c>
      <c r="F44">
        <f t="shared" si="1"/>
        <v>23918.5</v>
      </c>
      <c r="G44">
        <f t="shared" si="4"/>
        <v>-2.2195599740371108E-4</v>
      </c>
      <c r="K44">
        <f t="shared" si="6"/>
        <v>-2.2195599740371108E-4</v>
      </c>
      <c r="O44">
        <f t="shared" ca="1" si="2"/>
        <v>-2.1191497211538353E-4</v>
      </c>
      <c r="Q44" s="1">
        <f t="shared" si="3"/>
        <v>39897.709799999997</v>
      </c>
    </row>
    <row r="45" spans="1:21" x14ac:dyDescent="0.2">
      <c r="A45" s="25" t="s">
        <v>144</v>
      </c>
      <c r="B45" s="27" t="s">
        <v>34</v>
      </c>
      <c r="C45" s="26">
        <v>54917.169300000001</v>
      </c>
      <c r="D45" s="3"/>
      <c r="E45">
        <f t="shared" si="0"/>
        <v>23927.996300308016</v>
      </c>
      <c r="F45">
        <f t="shared" si="1"/>
        <v>23928</v>
      </c>
      <c r="G45">
        <f t="shared" si="4"/>
        <v>-3.7372799852164462E-4</v>
      </c>
      <c r="K45">
        <f t="shared" si="6"/>
        <v>-3.7372799852164462E-4</v>
      </c>
      <c r="O45">
        <f t="shared" ca="1" si="2"/>
        <v>-2.1211210621237123E-4</v>
      </c>
      <c r="Q45" s="1">
        <f t="shared" si="3"/>
        <v>39898.669300000001</v>
      </c>
    </row>
    <row r="46" spans="1:21" x14ac:dyDescent="0.2">
      <c r="A46" s="25" t="s">
        <v>144</v>
      </c>
      <c r="B46" s="27" t="s">
        <v>44</v>
      </c>
      <c r="C46" s="26">
        <v>54917.2192</v>
      </c>
      <c r="D46" s="3"/>
      <c r="E46">
        <f t="shared" si="0"/>
        <v>23928.490281576862</v>
      </c>
      <c r="F46">
        <f t="shared" si="1"/>
        <v>23928.5</v>
      </c>
      <c r="G46">
        <f t="shared" si="4"/>
        <v>-9.8171599529450759E-4</v>
      </c>
      <c r="K46">
        <f t="shared" si="6"/>
        <v>-9.8171599529450759E-4</v>
      </c>
      <c r="O46">
        <f t="shared" ca="1" si="2"/>
        <v>-2.1212248169116008E-4</v>
      </c>
      <c r="Q46" s="1">
        <f t="shared" si="3"/>
        <v>39898.7192</v>
      </c>
    </row>
    <row r="47" spans="1:21" x14ac:dyDescent="0.2">
      <c r="A47" s="10" t="s">
        <v>45</v>
      </c>
      <c r="B47" s="5" t="s">
        <v>34</v>
      </c>
      <c r="C47" s="6">
        <v>55240.616300000002</v>
      </c>
      <c r="D47" s="6">
        <v>1E-4</v>
      </c>
      <c r="E47">
        <f t="shared" si="0"/>
        <v>27129.935367847196</v>
      </c>
      <c r="F47">
        <f t="shared" si="1"/>
        <v>27130</v>
      </c>
      <c r="K47">
        <f t="shared" si="6"/>
        <v>0</v>
      </c>
      <c r="O47">
        <f t="shared" ca="1" si="2"/>
        <v>-2.7855667237601219E-4</v>
      </c>
      <c r="Q47" s="1">
        <f t="shared" si="3"/>
        <v>40222.116300000002</v>
      </c>
      <c r="U47" s="11">
        <f>+C47-(C$7+F47*C$8)</f>
        <v>-6.5288799960399047E-3</v>
      </c>
    </row>
    <row r="48" spans="1:21" x14ac:dyDescent="0.2">
      <c r="A48" s="25" t="s">
        <v>173</v>
      </c>
      <c r="B48" s="27" t="s">
        <v>34</v>
      </c>
      <c r="C48" s="26">
        <v>55555.287300000004</v>
      </c>
      <c r="D48" s="3"/>
      <c r="E48">
        <f t="shared" si="0"/>
        <v>30244.997088381402</v>
      </c>
      <c r="F48">
        <f t="shared" si="1"/>
        <v>30245</v>
      </c>
      <c r="G48">
        <f>+C48-(C$7+F48*C$8)</f>
        <v>-2.9411999275907874E-4</v>
      </c>
      <c r="K48">
        <f t="shared" si="6"/>
        <v>-2.9411999275907874E-4</v>
      </c>
      <c r="O48">
        <f t="shared" ca="1" si="2"/>
        <v>-3.431959052303975E-4</v>
      </c>
      <c r="Q48" s="1">
        <f t="shared" si="3"/>
        <v>40536.787300000004</v>
      </c>
    </row>
    <row r="49" spans="1:21" x14ac:dyDescent="0.2">
      <c r="A49" s="6" t="s">
        <v>46</v>
      </c>
      <c r="B49" s="5" t="s">
        <v>44</v>
      </c>
      <c r="C49" s="6">
        <v>55595.536599999999</v>
      </c>
      <c r="D49" s="6">
        <v>2.0000000000000001E-4</v>
      </c>
      <c r="E49">
        <f t="shared" si="0"/>
        <v>30643.441983869972</v>
      </c>
      <c r="F49">
        <f t="shared" si="1"/>
        <v>30643.5</v>
      </c>
      <c r="K49">
        <f t="shared" si="6"/>
        <v>0</v>
      </c>
      <c r="O49">
        <f t="shared" ca="1" si="2"/>
        <v>-3.5146516182509176E-4</v>
      </c>
      <c r="Q49" s="1">
        <f t="shared" si="3"/>
        <v>40577.036599999999</v>
      </c>
      <c r="U49" s="11">
        <f>+C49-(C$7+F49*C$8)</f>
        <v>-5.8605559970601462E-3</v>
      </c>
    </row>
    <row r="50" spans="1:21" x14ac:dyDescent="0.2">
      <c r="A50" s="6" t="s">
        <v>46</v>
      </c>
      <c r="B50" s="5" t="s">
        <v>44</v>
      </c>
      <c r="C50" s="6">
        <v>55595.586900000002</v>
      </c>
      <c r="D50" s="6">
        <v>1E-4</v>
      </c>
      <c r="E50">
        <f t="shared" si="0"/>
        <v>30643.939924908551</v>
      </c>
      <c r="F50">
        <f t="shared" si="1"/>
        <v>30644</v>
      </c>
      <c r="K50">
        <f t="shared" si="6"/>
        <v>0</v>
      </c>
      <c r="O50">
        <f t="shared" ca="1" si="2"/>
        <v>-3.514755373038805E-4</v>
      </c>
      <c r="Q50" s="1">
        <f t="shared" si="3"/>
        <v>40577.086900000002</v>
      </c>
      <c r="U50" s="11">
        <f>+C50-(C$7+F50*C$8)</f>
        <v>-6.0685439966619015E-3</v>
      </c>
    </row>
    <row r="51" spans="1:21" x14ac:dyDescent="0.2">
      <c r="A51" s="25" t="s">
        <v>187</v>
      </c>
      <c r="B51" s="27" t="s">
        <v>34</v>
      </c>
      <c r="C51" s="26">
        <v>55940.258800000003</v>
      </c>
      <c r="D51" s="3"/>
      <c r="E51">
        <f t="shared" si="0"/>
        <v>34055.993281696406</v>
      </c>
      <c r="F51">
        <f t="shared" si="1"/>
        <v>34056</v>
      </c>
      <c r="G51">
        <f t="shared" ref="G51:G64" si="7">+C51-(C$7+F51*C$8)</f>
        <v>-6.7865599703509361E-4</v>
      </c>
      <c r="K51">
        <f t="shared" si="6"/>
        <v>-6.7865599703509361E-4</v>
      </c>
      <c r="O51">
        <f t="shared" ca="1" si="2"/>
        <v>-4.222778045588284E-4</v>
      </c>
      <c r="Q51" s="1">
        <f t="shared" si="3"/>
        <v>40921.758800000003</v>
      </c>
    </row>
    <row r="52" spans="1:21" x14ac:dyDescent="0.2">
      <c r="A52" s="25" t="s">
        <v>191</v>
      </c>
      <c r="B52" s="27" t="s">
        <v>34</v>
      </c>
      <c r="C52" s="26">
        <v>55979.554100000001</v>
      </c>
      <c r="D52" s="3"/>
      <c r="E52">
        <f t="shared" si="0"/>
        <v>34444.994126473648</v>
      </c>
      <c r="F52">
        <f t="shared" si="1"/>
        <v>34445</v>
      </c>
      <c r="G52">
        <f t="shared" si="7"/>
        <v>-5.9331999364076182E-4</v>
      </c>
      <c r="K52">
        <f t="shared" si="6"/>
        <v>-5.9331999364076182E-4</v>
      </c>
      <c r="O52">
        <f t="shared" ca="1" si="2"/>
        <v>-4.3034992705653495E-4</v>
      </c>
      <c r="Q52" s="1">
        <f t="shared" si="3"/>
        <v>40961.054100000001</v>
      </c>
    </row>
    <row r="53" spans="1:21" x14ac:dyDescent="0.2">
      <c r="A53" s="28" t="s">
        <v>47</v>
      </c>
      <c r="B53" s="29" t="s">
        <v>34</v>
      </c>
      <c r="C53" s="30">
        <v>55979.554199999999</v>
      </c>
      <c r="D53" s="30">
        <v>1E-4</v>
      </c>
      <c r="E53">
        <f t="shared" si="0"/>
        <v>34444.995116416045</v>
      </c>
      <c r="F53">
        <f t="shared" si="1"/>
        <v>34445</v>
      </c>
      <c r="G53">
        <f t="shared" si="7"/>
        <v>-4.9331999616697431E-4</v>
      </c>
      <c r="K53">
        <f t="shared" si="6"/>
        <v>-4.9331999616697431E-4</v>
      </c>
      <c r="O53">
        <f t="shared" ca="1" si="2"/>
        <v>-4.3034992705653495E-4</v>
      </c>
      <c r="Q53" s="1">
        <f t="shared" si="3"/>
        <v>40961.054199999999</v>
      </c>
      <c r="U53" s="11"/>
    </row>
    <row r="54" spans="1:21" x14ac:dyDescent="0.2">
      <c r="A54" s="28" t="s">
        <v>47</v>
      </c>
      <c r="B54" s="29" t="s">
        <v>44</v>
      </c>
      <c r="C54" s="30">
        <v>55979.604700000004</v>
      </c>
      <c r="D54" s="30">
        <v>1E-4</v>
      </c>
      <c r="E54">
        <f t="shared" si="0"/>
        <v>34445.495037339497</v>
      </c>
      <c r="F54">
        <f t="shared" si="1"/>
        <v>34445.5</v>
      </c>
      <c r="G54">
        <f t="shared" si="7"/>
        <v>-5.0130799354519695E-4</v>
      </c>
      <c r="K54">
        <f t="shared" si="6"/>
        <v>-5.0130799354519695E-4</v>
      </c>
      <c r="O54">
        <f t="shared" ca="1" si="2"/>
        <v>-4.303603025353238E-4</v>
      </c>
      <c r="Q54" s="1">
        <f t="shared" si="3"/>
        <v>40961.104700000004</v>
      </c>
      <c r="U54" s="11"/>
    </row>
    <row r="55" spans="1:21" x14ac:dyDescent="0.2">
      <c r="A55" s="25" t="s">
        <v>191</v>
      </c>
      <c r="B55" s="27" t="s">
        <v>34</v>
      </c>
      <c r="C55" s="26">
        <v>55979.655100000004</v>
      </c>
      <c r="D55" s="3"/>
      <c r="E55">
        <f t="shared" si="0"/>
        <v>34445.993968320472</v>
      </c>
      <c r="F55">
        <f t="shared" si="1"/>
        <v>34446</v>
      </c>
      <c r="G55">
        <f t="shared" si="7"/>
        <v>-6.0929599567316473E-4</v>
      </c>
      <c r="K55">
        <f t="shared" si="6"/>
        <v>-6.0929599567316473E-4</v>
      </c>
      <c r="O55">
        <f t="shared" ca="1" si="2"/>
        <v>-4.3037067801411253E-4</v>
      </c>
      <c r="Q55" s="1">
        <f t="shared" si="3"/>
        <v>40961.155100000004</v>
      </c>
    </row>
    <row r="56" spans="1:21" x14ac:dyDescent="0.2">
      <c r="A56" s="28" t="s">
        <v>47</v>
      </c>
      <c r="B56" s="29" t="s">
        <v>34</v>
      </c>
      <c r="C56" s="30">
        <v>55979.655200000001</v>
      </c>
      <c r="D56" s="30">
        <v>1E-4</v>
      </c>
      <c r="E56">
        <f t="shared" si="0"/>
        <v>34445.994958262869</v>
      </c>
      <c r="F56">
        <f t="shared" si="1"/>
        <v>34446</v>
      </c>
      <c r="G56">
        <f t="shared" si="7"/>
        <v>-5.0929599819937721E-4</v>
      </c>
      <c r="K56">
        <f t="shared" si="6"/>
        <v>-5.0929599819937721E-4</v>
      </c>
      <c r="O56">
        <f t="shared" ca="1" si="2"/>
        <v>-4.3037067801411253E-4</v>
      </c>
      <c r="Q56" s="1">
        <f t="shared" si="3"/>
        <v>40961.155200000001</v>
      </c>
      <c r="U56" s="11"/>
    </row>
    <row r="57" spans="1:21" x14ac:dyDescent="0.2">
      <c r="A57" s="25" t="s">
        <v>187</v>
      </c>
      <c r="B57" s="27" t="s">
        <v>44</v>
      </c>
      <c r="C57" s="26">
        <v>56013.1423</v>
      </c>
      <c r="D57" s="3"/>
      <c r="E57">
        <f t="shared" si="0"/>
        <v>34777.497967252246</v>
      </c>
      <c r="F57">
        <f t="shared" si="1"/>
        <v>34777.5</v>
      </c>
      <c r="G57">
        <f t="shared" si="7"/>
        <v>-2.053400021395646E-4</v>
      </c>
      <c r="K57">
        <f t="shared" si="6"/>
        <v>-2.053400021395646E-4</v>
      </c>
      <c r="O57">
        <f t="shared" ca="1" si="2"/>
        <v>-4.3724962045110414E-4</v>
      </c>
      <c r="Q57" s="1">
        <f t="shared" si="3"/>
        <v>40994.6423</v>
      </c>
    </row>
    <row r="58" spans="1:21" x14ac:dyDescent="0.2">
      <c r="A58" s="25" t="s">
        <v>187</v>
      </c>
      <c r="B58" s="27" t="s">
        <v>34</v>
      </c>
      <c r="C58" s="26">
        <v>56014.101699999999</v>
      </c>
      <c r="D58" s="3"/>
      <c r="E58">
        <f t="shared" si="0"/>
        <v>34786.995474854404</v>
      </c>
      <c r="F58">
        <f t="shared" si="1"/>
        <v>34787</v>
      </c>
      <c r="G58">
        <f t="shared" si="7"/>
        <v>-4.5711200073128566E-4</v>
      </c>
      <c r="K58">
        <f t="shared" si="6"/>
        <v>-4.5711200073128566E-4</v>
      </c>
      <c r="O58">
        <f t="shared" ca="1" si="2"/>
        <v>-4.3744675454809184E-4</v>
      </c>
      <c r="Q58" s="1">
        <f t="shared" si="3"/>
        <v>40995.601699999999</v>
      </c>
    </row>
    <row r="59" spans="1:21" x14ac:dyDescent="0.2">
      <c r="A59" s="25" t="s">
        <v>187</v>
      </c>
      <c r="B59" s="27" t="s">
        <v>44</v>
      </c>
      <c r="C59" s="26">
        <v>56014.152399999999</v>
      </c>
      <c r="D59" s="3"/>
      <c r="E59">
        <f t="shared" si="0"/>
        <v>34787.49737566265</v>
      </c>
      <c r="F59">
        <f t="shared" si="1"/>
        <v>34787.5</v>
      </c>
      <c r="G59">
        <f t="shared" si="7"/>
        <v>-2.6509999588597566E-4</v>
      </c>
      <c r="K59">
        <f t="shared" si="6"/>
        <v>-2.6509999588597566E-4</v>
      </c>
      <c r="O59">
        <f t="shared" ca="1" si="2"/>
        <v>-4.3745713002688068E-4</v>
      </c>
      <c r="Q59" s="1">
        <f t="shared" si="3"/>
        <v>40995.652399999999</v>
      </c>
    </row>
    <row r="60" spans="1:21" x14ac:dyDescent="0.2">
      <c r="A60" s="31" t="s">
        <v>48</v>
      </c>
      <c r="B60" s="32" t="s">
        <v>34</v>
      </c>
      <c r="C60" s="31">
        <v>56398.467422000002</v>
      </c>
      <c r="D60" s="31">
        <v>2.3E-5</v>
      </c>
      <c r="E60">
        <f t="shared" si="0"/>
        <v>38591.994814760823</v>
      </c>
      <c r="F60">
        <f t="shared" si="1"/>
        <v>38592</v>
      </c>
      <c r="G60">
        <f t="shared" si="7"/>
        <v>-5.2379199769347906E-4</v>
      </c>
      <c r="K60">
        <f t="shared" si="6"/>
        <v>-5.2379199769347906E-4</v>
      </c>
      <c r="O60">
        <f t="shared" ca="1" si="2"/>
        <v>-5.1640414813105683E-4</v>
      </c>
      <c r="Q60" s="1">
        <f t="shared" si="3"/>
        <v>41379.967422000002</v>
      </c>
      <c r="U60" s="11"/>
    </row>
    <row r="61" spans="1:21" x14ac:dyDescent="0.2">
      <c r="A61" s="31" t="s">
        <v>48</v>
      </c>
      <c r="B61" s="32" t="s">
        <v>44</v>
      </c>
      <c r="C61" s="31">
        <v>56398.517741000003</v>
      </c>
      <c r="D61" s="31">
        <v>6.7999999999999999E-5</v>
      </c>
      <c r="E61">
        <f t="shared" si="0"/>
        <v>38592.49294388845</v>
      </c>
      <c r="F61">
        <f t="shared" si="1"/>
        <v>38592.5</v>
      </c>
      <c r="G61">
        <f t="shared" si="7"/>
        <v>-7.1277999086305499E-4</v>
      </c>
      <c r="K61">
        <f t="shared" si="6"/>
        <v>-7.1277999086305499E-4</v>
      </c>
      <c r="O61">
        <f t="shared" ca="1" si="2"/>
        <v>-5.1641452360984567E-4</v>
      </c>
      <c r="Q61" s="1">
        <f t="shared" si="3"/>
        <v>41380.017741000003</v>
      </c>
      <c r="U61" s="11"/>
    </row>
    <row r="62" spans="1:21" x14ac:dyDescent="0.2">
      <c r="A62" s="31" t="s">
        <v>48</v>
      </c>
      <c r="B62" s="32" t="s">
        <v>34</v>
      </c>
      <c r="C62" s="31">
        <v>56398.568440000003</v>
      </c>
      <c r="D62" s="31">
        <v>2.0999999999999999E-5</v>
      </c>
      <c r="E62">
        <f t="shared" si="0"/>
        <v>38592.994834797268</v>
      </c>
      <c r="F62">
        <f t="shared" si="1"/>
        <v>38593</v>
      </c>
      <c r="G62">
        <f t="shared" si="7"/>
        <v>-5.2176799363223836E-4</v>
      </c>
      <c r="K62">
        <f t="shared" si="6"/>
        <v>-5.2176799363223836E-4</v>
      </c>
      <c r="O62">
        <f t="shared" ca="1" si="2"/>
        <v>-5.1642489908863452E-4</v>
      </c>
      <c r="Q62" s="1">
        <f t="shared" si="3"/>
        <v>41380.068440000003</v>
      </c>
      <c r="U62" s="11"/>
    </row>
    <row r="63" spans="1:21" x14ac:dyDescent="0.2">
      <c r="A63" s="31" t="s">
        <v>48</v>
      </c>
      <c r="B63" s="32" t="s">
        <v>44</v>
      </c>
      <c r="C63" s="31">
        <v>56404.478109999996</v>
      </c>
      <c r="D63" s="31">
        <v>9.8999999999999994E-5</v>
      </c>
      <c r="E63">
        <f t="shared" si="0"/>
        <v>38651.497165161265</v>
      </c>
      <c r="F63">
        <f t="shared" si="1"/>
        <v>38651.5</v>
      </c>
      <c r="G63">
        <f t="shared" si="7"/>
        <v>-2.8636400384129956E-4</v>
      </c>
      <c r="K63">
        <f t="shared" si="6"/>
        <v>-2.8636400384129956E-4</v>
      </c>
      <c r="O63">
        <f t="shared" ca="1" si="2"/>
        <v>-5.1763883010692716E-4</v>
      </c>
      <c r="Q63" s="1">
        <f t="shared" si="3"/>
        <v>41385.978109999996</v>
      </c>
      <c r="U63" s="11"/>
    </row>
    <row r="64" spans="1:21" x14ac:dyDescent="0.2">
      <c r="A64" s="31" t="s">
        <v>48</v>
      </c>
      <c r="B64" s="32" t="s">
        <v>34</v>
      </c>
      <c r="C64" s="31">
        <v>56404.528422000003</v>
      </c>
      <c r="D64" s="31">
        <v>1.9000000000000001E-5</v>
      </c>
      <c r="E64">
        <f t="shared" si="0"/>
        <v>38651.995224992977</v>
      </c>
      <c r="F64">
        <f t="shared" si="1"/>
        <v>38652</v>
      </c>
      <c r="G64">
        <f t="shared" si="7"/>
        <v>-4.8235199210466817E-4</v>
      </c>
      <c r="K64">
        <f t="shared" si="6"/>
        <v>-4.8235199210466817E-4</v>
      </c>
      <c r="O64">
        <f t="shared" ca="1" si="2"/>
        <v>-5.1764920558571589E-4</v>
      </c>
      <c r="Q64" s="1">
        <f t="shared" si="3"/>
        <v>41386.028422000003</v>
      </c>
      <c r="U64" s="11"/>
    </row>
    <row r="65" spans="1:17" x14ac:dyDescent="0.2">
      <c r="A65" s="33" t="s">
        <v>0</v>
      </c>
      <c r="B65" s="34" t="s">
        <v>44</v>
      </c>
      <c r="C65" s="33">
        <v>57126.438600000001</v>
      </c>
      <c r="D65" s="33">
        <v>2.9999999999999997E-4</v>
      </c>
      <c r="E65">
        <f>+(C65-C$7)/C$8</f>
        <v>45798.490329886074</v>
      </c>
      <c r="F65">
        <f t="shared" si="1"/>
        <v>45798.5</v>
      </c>
      <c r="G65">
        <f>+C65-(C$7+F65*C$8)</f>
        <v>-9.7683599597075954E-4</v>
      </c>
      <c r="K65">
        <f t="shared" si="6"/>
        <v>-9.7683599597075954E-4</v>
      </c>
      <c r="O65">
        <f ca="1">+C$11+C$12*$F65</f>
        <v>-6.6594592391440433E-4</v>
      </c>
      <c r="Q65" s="1">
        <f>+C65-15018.5</f>
        <v>42107.938600000001</v>
      </c>
    </row>
    <row r="66" spans="1:17" x14ac:dyDescent="0.2">
      <c r="A66" s="35" t="s">
        <v>234</v>
      </c>
      <c r="B66" s="36" t="s">
        <v>34</v>
      </c>
      <c r="C66" s="69">
        <v>59380.457999999999</v>
      </c>
      <c r="D66" s="70">
        <v>3.5000000000000001E-3</v>
      </c>
      <c r="E66">
        <f>+(C66-C$7)/C$8</f>
        <v>68111.984583507874</v>
      </c>
      <c r="F66">
        <f t="shared" ref="F66" si="8">ROUND(2*E66,0)/2</f>
        <v>68112</v>
      </c>
      <c r="G66">
        <f>+C66-(C$7+F66*C$8)</f>
        <v>-1.5573119962937199E-3</v>
      </c>
      <c r="K66">
        <f t="shared" ref="K66" si="9">+G66</f>
        <v>-1.5573119962937199E-3</v>
      </c>
      <c r="O66">
        <f ca="1">+C$11+C$12*$F66</f>
        <v>-1.1289724158233374E-3</v>
      </c>
      <c r="Q66" s="1">
        <f>+C66-15018.5</f>
        <v>44361.957999999999</v>
      </c>
    </row>
    <row r="67" spans="1:17" x14ac:dyDescent="0.2">
      <c r="B67" s="2"/>
      <c r="C67" s="3"/>
      <c r="D67" s="3"/>
    </row>
    <row r="68" spans="1:17" x14ac:dyDescent="0.2">
      <c r="B68" s="2"/>
      <c r="C68" s="3"/>
      <c r="D68" s="3"/>
    </row>
    <row r="69" spans="1:17" x14ac:dyDescent="0.2">
      <c r="B69" s="2"/>
      <c r="C69" s="3"/>
      <c r="D69" s="3"/>
    </row>
    <row r="70" spans="1:17" x14ac:dyDescent="0.2">
      <c r="B70" s="2"/>
      <c r="C70" s="3"/>
      <c r="D70" s="3"/>
    </row>
    <row r="71" spans="1:17" x14ac:dyDescent="0.2">
      <c r="B71" s="2"/>
      <c r="C71" s="3"/>
      <c r="D71" s="3"/>
    </row>
    <row r="72" spans="1:17" x14ac:dyDescent="0.2">
      <c r="B72" s="2"/>
      <c r="C72" s="3"/>
      <c r="D72" s="3"/>
    </row>
    <row r="73" spans="1:17" x14ac:dyDescent="0.2">
      <c r="B73" s="2"/>
      <c r="C73" s="3"/>
      <c r="D73" s="3"/>
    </row>
    <row r="74" spans="1:17" x14ac:dyDescent="0.2">
      <c r="B74" s="2"/>
      <c r="C74" s="3"/>
      <c r="D74" s="3"/>
    </row>
    <row r="75" spans="1:17" x14ac:dyDescent="0.2">
      <c r="B75" s="2"/>
      <c r="C75" s="3"/>
      <c r="D75" s="3"/>
    </row>
    <row r="76" spans="1:17" x14ac:dyDescent="0.2">
      <c r="B76" s="2"/>
      <c r="C76" s="3"/>
      <c r="D76" s="3"/>
    </row>
    <row r="77" spans="1:17" x14ac:dyDescent="0.2">
      <c r="B77" s="2"/>
      <c r="C77" s="3"/>
      <c r="D77" s="3"/>
    </row>
    <row r="78" spans="1:17" x14ac:dyDescent="0.2">
      <c r="B78" s="2"/>
      <c r="C78" s="3"/>
      <c r="D78" s="3"/>
    </row>
    <row r="79" spans="1:17" x14ac:dyDescent="0.2">
      <c r="B79" s="2"/>
      <c r="C79" s="3"/>
      <c r="D79" s="3"/>
    </row>
    <row r="80" spans="1:17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C83" s="3"/>
      <c r="D83" s="3"/>
    </row>
    <row r="84" spans="2:4" x14ac:dyDescent="0.2">
      <c r="C84" s="3"/>
      <c r="D84" s="3"/>
    </row>
    <row r="85" spans="2:4" x14ac:dyDescent="0.2">
      <c r="C85" s="3"/>
      <c r="D85" s="3"/>
    </row>
    <row r="86" spans="2:4" x14ac:dyDescent="0.2">
      <c r="C86" s="3"/>
      <c r="D86" s="3"/>
    </row>
    <row r="87" spans="2:4" x14ac:dyDescent="0.2">
      <c r="C87" s="3"/>
      <c r="D87" s="3"/>
    </row>
    <row r="88" spans="2:4" x14ac:dyDescent="0.2">
      <c r="C88" s="3"/>
      <c r="D88" s="3"/>
    </row>
    <row r="89" spans="2:4" x14ac:dyDescent="0.2">
      <c r="C89" s="3"/>
      <c r="D89" s="3"/>
    </row>
    <row r="90" spans="2:4" x14ac:dyDescent="0.2">
      <c r="C90" s="3"/>
      <c r="D90" s="3"/>
    </row>
    <row r="91" spans="2:4" x14ac:dyDescent="0.2">
      <c r="C91" s="3"/>
      <c r="D91" s="3"/>
    </row>
    <row r="92" spans="2:4" x14ac:dyDescent="0.2">
      <c r="C92" s="3"/>
      <c r="D92" s="3"/>
    </row>
    <row r="93" spans="2:4" x14ac:dyDescent="0.2">
      <c r="C93" s="3"/>
      <c r="D93" s="3"/>
    </row>
    <row r="94" spans="2:4" x14ac:dyDescent="0.2">
      <c r="C94" s="3"/>
      <c r="D94" s="3"/>
    </row>
    <row r="95" spans="2:4" x14ac:dyDescent="0.2">
      <c r="C95" s="3"/>
      <c r="D95" s="3"/>
    </row>
    <row r="96" spans="2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8" type="noConversion"/>
  <hyperlinks>
    <hyperlink ref="H62138" r:id="rId1" display="http://vsolj.cetus-net.org/bulletin.html" xr:uid="{00000000-0004-0000-0000-000000000000}"/>
    <hyperlink ref="H62131" r:id="rId2" display="https://www.aavso.org/ejaavso" xr:uid="{00000000-0004-0000-0000-000001000000}"/>
    <hyperlink ref="I62138" r:id="rId3" display="http://vsolj.cetus-net.org/bulletin.html" xr:uid="{00000000-0004-0000-0000-000002000000}"/>
    <hyperlink ref="AQ55781" r:id="rId4" display="http://cdsbib.u-strasbg.fr/cgi-bin/cdsbib?1990RMxAA..21..381G" xr:uid="{00000000-0004-0000-0000-000003000000}"/>
    <hyperlink ref="H62135" r:id="rId5" display="https://www.aavso.org/ejaavso" xr:uid="{00000000-0004-0000-0000-000004000000}"/>
    <hyperlink ref="AP3145" r:id="rId6" display="http://cdsbib.u-strasbg.fr/cgi-bin/cdsbib?1990RMxAA..21..381G" xr:uid="{00000000-0004-0000-0000-000005000000}"/>
    <hyperlink ref="AP3148" r:id="rId7" display="http://cdsbib.u-strasbg.fr/cgi-bin/cdsbib?1990RMxAA..21..381G" xr:uid="{00000000-0004-0000-0000-000006000000}"/>
    <hyperlink ref="AP3146" r:id="rId8" display="http://cdsbib.u-strasbg.fr/cgi-bin/cdsbib?1990RMxAA..21..381G" xr:uid="{00000000-0004-0000-0000-000007000000}"/>
    <hyperlink ref="AP3130" r:id="rId9" display="http://cdsbib.u-strasbg.fr/cgi-bin/cdsbib?1990RMxAA..21..381G" xr:uid="{00000000-0004-0000-0000-000008000000}"/>
    <hyperlink ref="AQ3359" r:id="rId10" display="http://cdsbib.u-strasbg.fr/cgi-bin/cdsbib?1990RMxAA..21..381G" xr:uid="{00000000-0004-0000-0000-000009000000}"/>
    <hyperlink ref="AQ3363" r:id="rId11" display="http://cdsbib.u-strasbg.fr/cgi-bin/cdsbib?1990RMxAA..21..381G" xr:uid="{00000000-0004-0000-0000-00000A000000}"/>
    <hyperlink ref="AQ63051" r:id="rId12" display="http://cdsbib.u-strasbg.fr/cgi-bin/cdsbib?1990RMxAA..21..381G" xr:uid="{00000000-0004-0000-0000-00000B000000}"/>
    <hyperlink ref="I251" r:id="rId13" display="http://vsolj.cetus-net.org/bulletin.html" xr:uid="{00000000-0004-0000-0000-00000C000000}"/>
    <hyperlink ref="H251" r:id="rId14" display="http://vsolj.cetus-net.org/bulletin.html" xr:uid="{00000000-0004-0000-0000-00000D000000}"/>
    <hyperlink ref="AQ63712" r:id="rId15" display="http://cdsbib.u-strasbg.fr/cgi-bin/cdsbib?1990RMxAA..21..381G" xr:uid="{00000000-0004-0000-0000-00000E000000}"/>
    <hyperlink ref="AQ63711" r:id="rId16" display="http://cdsbib.u-strasbg.fr/cgi-bin/cdsbib?1990RMxAA..21..381G" xr:uid="{00000000-0004-0000-0000-00000F000000}"/>
    <hyperlink ref="AP1421" r:id="rId17" display="http://cdsbib.u-strasbg.fr/cgi-bin/cdsbib?1990RMxAA..21..381G" xr:uid="{00000000-0004-0000-0000-000010000000}"/>
    <hyperlink ref="AP1439" r:id="rId18" display="http://cdsbib.u-strasbg.fr/cgi-bin/cdsbib?1990RMxAA..21..381G" xr:uid="{00000000-0004-0000-0000-000011000000}"/>
    <hyperlink ref="AP1440" r:id="rId19" display="http://cdsbib.u-strasbg.fr/cgi-bin/cdsbib?1990RMxAA..21..381G" xr:uid="{00000000-0004-0000-0000-000012000000}"/>
    <hyperlink ref="AP1436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8" workbookViewId="0">
      <selection activeCell="A31" sqref="A31:C5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50</v>
      </c>
      <c r="I1" s="13" t="s">
        <v>51</v>
      </c>
      <c r="J1" s="14" t="s">
        <v>52</v>
      </c>
    </row>
    <row r="2" spans="1:16" x14ac:dyDescent="0.2">
      <c r="I2" s="15" t="s">
        <v>53</v>
      </c>
      <c r="J2" s="16" t="s">
        <v>54</v>
      </c>
    </row>
    <row r="3" spans="1:16" x14ac:dyDescent="0.2">
      <c r="A3" s="17" t="s">
        <v>55</v>
      </c>
      <c r="I3" s="15" t="s">
        <v>56</v>
      </c>
      <c r="J3" s="16" t="s">
        <v>57</v>
      </c>
    </row>
    <row r="4" spans="1:16" x14ac:dyDescent="0.2">
      <c r="I4" s="15" t="s">
        <v>58</v>
      </c>
      <c r="J4" s="16" t="s">
        <v>57</v>
      </c>
    </row>
    <row r="5" spans="1:16" ht="13.5" thickBot="1" x14ac:dyDescent="0.25">
      <c r="I5" s="18" t="s">
        <v>59</v>
      </c>
      <c r="J5" s="19" t="s">
        <v>60</v>
      </c>
    </row>
    <row r="10" spans="1:16" ht="13.5" thickBot="1" x14ac:dyDescent="0.25"/>
    <row r="11" spans="1:16" ht="12.75" customHeight="1" thickBot="1" x14ac:dyDescent="0.25">
      <c r="A11" s="3" t="str">
        <f t="shared" ref="A11:A56" si="0">P11</f>
        <v>BAVM 178 </v>
      </c>
      <c r="B11" s="2" t="str">
        <f t="shared" ref="B11:B56" si="1">IF(H11=INT(H11),"I","II")</f>
        <v>I</v>
      </c>
      <c r="C11" s="3">
        <f t="shared" ref="C11:C56" si="2">1*G11</f>
        <v>53867.411800000002</v>
      </c>
      <c r="D11" s="4" t="str">
        <f t="shared" ref="D11:D56" si="3">VLOOKUP(F11,I$1:J$5,2,FALSE)</f>
        <v>vis</v>
      </c>
      <c r="E11" s="20">
        <f>VLOOKUP(C11,Active!C$21:E$973,3,FALSE)</f>
        <v>13536.001473667922</v>
      </c>
      <c r="F11" s="2" t="s">
        <v>59</v>
      </c>
      <c r="G11" s="4" t="str">
        <f t="shared" ref="G11:G56" si="4">MID(I11,3,LEN(I11)-3)</f>
        <v>53867.4118</v>
      </c>
      <c r="H11" s="3">
        <f t="shared" ref="H11:H56" si="5">1*K11</f>
        <v>13536</v>
      </c>
      <c r="I11" s="21" t="s">
        <v>100</v>
      </c>
      <c r="J11" s="22" t="s">
        <v>101</v>
      </c>
      <c r="K11" s="21">
        <v>13536</v>
      </c>
      <c r="L11" s="21" t="s">
        <v>93</v>
      </c>
      <c r="M11" s="22" t="s">
        <v>102</v>
      </c>
      <c r="N11" s="22" t="s">
        <v>103</v>
      </c>
      <c r="O11" s="23" t="s">
        <v>104</v>
      </c>
      <c r="P11" s="24" t="s">
        <v>105</v>
      </c>
    </row>
    <row r="12" spans="1:16" ht="12.75" customHeight="1" thickBot="1" x14ac:dyDescent="0.25">
      <c r="A12" s="3" t="str">
        <f t="shared" si="0"/>
        <v>IBVS 6007 </v>
      </c>
      <c r="B12" s="2" t="str">
        <f t="shared" si="1"/>
        <v>I</v>
      </c>
      <c r="C12" s="3">
        <f t="shared" si="2"/>
        <v>54195.410660000001</v>
      </c>
      <c r="D12" s="4" t="str">
        <f t="shared" si="3"/>
        <v>vis</v>
      </c>
      <c r="E12" s="20">
        <f>VLOOKUP(C12,Active!C$21:E$973,3,FALSE)</f>
        <v>16783.001334363224</v>
      </c>
      <c r="F12" s="2" t="s">
        <v>59</v>
      </c>
      <c r="G12" s="4" t="str">
        <f t="shared" si="4"/>
        <v>54195.41066</v>
      </c>
      <c r="H12" s="3">
        <f t="shared" si="5"/>
        <v>16783</v>
      </c>
      <c r="I12" s="21" t="s">
        <v>116</v>
      </c>
      <c r="J12" s="22" t="s">
        <v>117</v>
      </c>
      <c r="K12" s="21" t="s">
        <v>118</v>
      </c>
      <c r="L12" s="21" t="s">
        <v>119</v>
      </c>
      <c r="M12" s="22" t="s">
        <v>102</v>
      </c>
      <c r="N12" s="22" t="s">
        <v>120</v>
      </c>
      <c r="O12" s="23" t="s">
        <v>121</v>
      </c>
      <c r="P12" s="24" t="s">
        <v>122</v>
      </c>
    </row>
    <row r="13" spans="1:16" ht="12.75" customHeight="1" thickBot="1" x14ac:dyDescent="0.25">
      <c r="A13" s="3" t="str">
        <f t="shared" si="0"/>
        <v>IBVS 6007 </v>
      </c>
      <c r="B13" s="2" t="str">
        <f t="shared" si="1"/>
        <v>II</v>
      </c>
      <c r="C13" s="3">
        <f t="shared" si="2"/>
        <v>54195.461219999997</v>
      </c>
      <c r="D13" s="4" t="str">
        <f t="shared" si="3"/>
        <v>vis</v>
      </c>
      <c r="E13" s="20">
        <f>VLOOKUP(C13,Active!C$21:E$973,3,FALSE)</f>
        <v>16783.501849252036</v>
      </c>
      <c r="F13" s="2" t="s">
        <v>59</v>
      </c>
      <c r="G13" s="4" t="str">
        <f t="shared" si="4"/>
        <v>54195.46122</v>
      </c>
      <c r="H13" s="3">
        <f t="shared" si="5"/>
        <v>16783.5</v>
      </c>
      <c r="I13" s="21" t="s">
        <v>123</v>
      </c>
      <c r="J13" s="22" t="s">
        <v>124</v>
      </c>
      <c r="K13" s="21" t="s">
        <v>125</v>
      </c>
      <c r="L13" s="21" t="s">
        <v>126</v>
      </c>
      <c r="M13" s="22" t="s">
        <v>102</v>
      </c>
      <c r="N13" s="22" t="s">
        <v>120</v>
      </c>
      <c r="O13" s="23" t="s">
        <v>121</v>
      </c>
      <c r="P13" s="24" t="s">
        <v>122</v>
      </c>
    </row>
    <row r="14" spans="1:16" ht="12.75" customHeight="1" thickBot="1" x14ac:dyDescent="0.25">
      <c r="A14" s="3" t="str">
        <f t="shared" si="0"/>
        <v>BAVM 186 </v>
      </c>
      <c r="B14" s="2" t="str">
        <f t="shared" si="1"/>
        <v>I</v>
      </c>
      <c r="C14" s="3">
        <f t="shared" si="2"/>
        <v>54206.321400000001</v>
      </c>
      <c r="D14" s="4" t="str">
        <f t="shared" si="3"/>
        <v>vis</v>
      </c>
      <c r="E14" s="20">
        <f>VLOOKUP(C14,Active!C$21:E$973,3,FALSE)</f>
        <v>16891.01137823984</v>
      </c>
      <c r="F14" s="2" t="s">
        <v>59</v>
      </c>
      <c r="G14" s="4" t="str">
        <f t="shared" si="4"/>
        <v>54206.3214</v>
      </c>
      <c r="H14" s="3">
        <f t="shared" si="5"/>
        <v>16891</v>
      </c>
      <c r="I14" s="21" t="s">
        <v>127</v>
      </c>
      <c r="J14" s="22" t="s">
        <v>128</v>
      </c>
      <c r="K14" s="21" t="s">
        <v>129</v>
      </c>
      <c r="L14" s="21" t="s">
        <v>130</v>
      </c>
      <c r="M14" s="22" t="s">
        <v>102</v>
      </c>
      <c r="N14" s="22" t="s">
        <v>103</v>
      </c>
      <c r="O14" s="23" t="s">
        <v>104</v>
      </c>
      <c r="P14" s="24" t="s">
        <v>131</v>
      </c>
    </row>
    <row r="15" spans="1:16" ht="12.75" customHeight="1" thickBot="1" x14ac:dyDescent="0.25">
      <c r="A15" s="3" t="str">
        <f t="shared" si="0"/>
        <v>BAVM 186 </v>
      </c>
      <c r="B15" s="2" t="str">
        <f t="shared" si="1"/>
        <v>I</v>
      </c>
      <c r="C15" s="3">
        <f t="shared" si="2"/>
        <v>54206.422100000003</v>
      </c>
      <c r="D15" s="4" t="str">
        <f t="shared" si="3"/>
        <v>vis</v>
      </c>
      <c r="E15" s="20">
        <f>VLOOKUP(C15,Active!C$21:E$973,3,FALSE)</f>
        <v>16892.008250259398</v>
      </c>
      <c r="F15" s="2" t="s">
        <v>59</v>
      </c>
      <c r="G15" s="4" t="str">
        <f t="shared" si="4"/>
        <v>54206.4221</v>
      </c>
      <c r="H15" s="3">
        <f t="shared" si="5"/>
        <v>16892</v>
      </c>
      <c r="I15" s="21" t="s">
        <v>132</v>
      </c>
      <c r="J15" s="22" t="s">
        <v>133</v>
      </c>
      <c r="K15" s="21" t="s">
        <v>134</v>
      </c>
      <c r="L15" s="21" t="s">
        <v>135</v>
      </c>
      <c r="M15" s="22" t="s">
        <v>102</v>
      </c>
      <c r="N15" s="22" t="s">
        <v>103</v>
      </c>
      <c r="O15" s="23" t="s">
        <v>104</v>
      </c>
      <c r="P15" s="24" t="s">
        <v>131</v>
      </c>
    </row>
    <row r="16" spans="1:16" ht="12.75" customHeight="1" thickBot="1" x14ac:dyDescent="0.25">
      <c r="A16" s="3" t="str">
        <f t="shared" si="0"/>
        <v>BAVM 186 </v>
      </c>
      <c r="B16" s="2" t="str">
        <f t="shared" si="1"/>
        <v>I</v>
      </c>
      <c r="C16" s="3">
        <f t="shared" si="2"/>
        <v>54206.522799999999</v>
      </c>
      <c r="D16" s="4" t="str">
        <f t="shared" si="3"/>
        <v>vis</v>
      </c>
      <c r="E16" s="20">
        <f>VLOOKUP(C16,Active!C$21:E$973,3,FALSE)</f>
        <v>16893.005122278882</v>
      </c>
      <c r="F16" s="2" t="s">
        <v>59</v>
      </c>
      <c r="G16" s="4" t="str">
        <f t="shared" si="4"/>
        <v>54206.5228</v>
      </c>
      <c r="H16" s="3">
        <f t="shared" si="5"/>
        <v>16893</v>
      </c>
      <c r="I16" s="21" t="s">
        <v>136</v>
      </c>
      <c r="J16" s="22" t="s">
        <v>137</v>
      </c>
      <c r="K16" s="21" t="s">
        <v>138</v>
      </c>
      <c r="L16" s="21" t="s">
        <v>139</v>
      </c>
      <c r="M16" s="22" t="s">
        <v>102</v>
      </c>
      <c r="N16" s="22" t="s">
        <v>103</v>
      </c>
      <c r="O16" s="23" t="s">
        <v>104</v>
      </c>
      <c r="P16" s="24" t="s">
        <v>131</v>
      </c>
    </row>
    <row r="17" spans="1:16" ht="12.75" customHeight="1" thickBot="1" x14ac:dyDescent="0.25">
      <c r="A17" s="3" t="str">
        <f t="shared" si="0"/>
        <v> JAAVSO 39;94 </v>
      </c>
      <c r="B17" s="2" t="str">
        <f t="shared" si="1"/>
        <v>I</v>
      </c>
      <c r="C17" s="3">
        <f t="shared" si="2"/>
        <v>55240.616300000002</v>
      </c>
      <c r="D17" s="4" t="str">
        <f t="shared" si="3"/>
        <v>vis</v>
      </c>
      <c r="E17" s="20">
        <f>VLOOKUP(C17,Active!C$21:E$973,3,FALSE)</f>
        <v>27129.935367847196</v>
      </c>
      <c r="F17" s="2" t="s">
        <v>59</v>
      </c>
      <c r="G17" s="4" t="str">
        <f t="shared" si="4"/>
        <v>55240.6163</v>
      </c>
      <c r="H17" s="3">
        <f t="shared" si="5"/>
        <v>27130</v>
      </c>
      <c r="I17" s="21" t="s">
        <v>163</v>
      </c>
      <c r="J17" s="22" t="s">
        <v>164</v>
      </c>
      <c r="K17" s="21" t="s">
        <v>165</v>
      </c>
      <c r="L17" s="21" t="s">
        <v>166</v>
      </c>
      <c r="M17" s="22" t="s">
        <v>102</v>
      </c>
      <c r="N17" s="22" t="s">
        <v>167</v>
      </c>
      <c r="O17" s="23" t="s">
        <v>168</v>
      </c>
      <c r="P17" s="23" t="s">
        <v>169</v>
      </c>
    </row>
    <row r="18" spans="1:16" ht="12.75" customHeight="1" thickBot="1" x14ac:dyDescent="0.25">
      <c r="A18" s="3" t="str">
        <f t="shared" si="0"/>
        <v> JAAVSO 39;177 </v>
      </c>
      <c r="B18" s="2" t="str">
        <f t="shared" si="1"/>
        <v>II</v>
      </c>
      <c r="C18" s="3">
        <f t="shared" si="2"/>
        <v>55595.536599999999</v>
      </c>
      <c r="D18" s="4" t="str">
        <f t="shared" si="3"/>
        <v>vis</v>
      </c>
      <c r="E18" s="20">
        <f>VLOOKUP(C18,Active!C$21:E$973,3,FALSE)</f>
        <v>30643.441983869972</v>
      </c>
      <c r="F18" s="2" t="s">
        <v>59</v>
      </c>
      <c r="G18" s="4" t="str">
        <f t="shared" si="4"/>
        <v>55595.5366</v>
      </c>
      <c r="H18" s="3">
        <f t="shared" si="5"/>
        <v>30643.5</v>
      </c>
      <c r="I18" s="21" t="s">
        <v>174</v>
      </c>
      <c r="J18" s="22" t="s">
        <v>175</v>
      </c>
      <c r="K18" s="21" t="s">
        <v>176</v>
      </c>
      <c r="L18" s="21" t="s">
        <v>177</v>
      </c>
      <c r="M18" s="22" t="s">
        <v>102</v>
      </c>
      <c r="N18" s="22" t="s">
        <v>120</v>
      </c>
      <c r="O18" s="23" t="s">
        <v>168</v>
      </c>
      <c r="P18" s="23" t="s">
        <v>178</v>
      </c>
    </row>
    <row r="19" spans="1:16" ht="12.75" customHeight="1" thickBot="1" x14ac:dyDescent="0.25">
      <c r="A19" s="3" t="str">
        <f t="shared" si="0"/>
        <v> JAAVSO 39;177 </v>
      </c>
      <c r="B19" s="2" t="str">
        <f t="shared" si="1"/>
        <v>I</v>
      </c>
      <c r="C19" s="3">
        <f t="shared" si="2"/>
        <v>55595.586900000002</v>
      </c>
      <c r="D19" s="4" t="str">
        <f t="shared" si="3"/>
        <v>vis</v>
      </c>
      <c r="E19" s="20">
        <f>VLOOKUP(C19,Active!C$21:E$973,3,FALSE)</f>
        <v>30643.939924908551</v>
      </c>
      <c r="F19" s="2" t="s">
        <v>59</v>
      </c>
      <c r="G19" s="4" t="str">
        <f t="shared" si="4"/>
        <v>55595.5869</v>
      </c>
      <c r="H19" s="3">
        <f t="shared" si="5"/>
        <v>30644</v>
      </c>
      <c r="I19" s="21" t="s">
        <v>179</v>
      </c>
      <c r="J19" s="22" t="s">
        <v>180</v>
      </c>
      <c r="K19" s="21" t="s">
        <v>181</v>
      </c>
      <c r="L19" s="21" t="s">
        <v>182</v>
      </c>
      <c r="M19" s="22" t="s">
        <v>102</v>
      </c>
      <c r="N19" s="22" t="s">
        <v>120</v>
      </c>
      <c r="O19" s="23" t="s">
        <v>168</v>
      </c>
      <c r="P19" s="23" t="s">
        <v>178</v>
      </c>
    </row>
    <row r="20" spans="1:16" ht="12.75" customHeight="1" thickBot="1" x14ac:dyDescent="0.25">
      <c r="A20" s="3" t="str">
        <f t="shared" si="0"/>
        <v> JAAVSO 41;122 </v>
      </c>
      <c r="B20" s="2" t="str">
        <f t="shared" si="1"/>
        <v>II</v>
      </c>
      <c r="C20" s="3">
        <f t="shared" si="2"/>
        <v>55979.604700000004</v>
      </c>
      <c r="D20" s="4" t="str">
        <f t="shared" si="3"/>
        <v>vis</v>
      </c>
      <c r="E20" s="20">
        <f>VLOOKUP(C20,Active!C$21:E$973,3,FALSE)</f>
        <v>34445.495037339497</v>
      </c>
      <c r="F20" s="2" t="s">
        <v>59</v>
      </c>
      <c r="G20" s="4" t="str">
        <f t="shared" si="4"/>
        <v>55979.6047</v>
      </c>
      <c r="H20" s="3">
        <f t="shared" si="5"/>
        <v>34445.5</v>
      </c>
      <c r="I20" s="21" t="s">
        <v>192</v>
      </c>
      <c r="J20" s="22" t="s">
        <v>193</v>
      </c>
      <c r="K20" s="21" t="s">
        <v>194</v>
      </c>
      <c r="L20" s="21" t="s">
        <v>80</v>
      </c>
      <c r="M20" s="22" t="s">
        <v>102</v>
      </c>
      <c r="N20" s="22" t="s">
        <v>120</v>
      </c>
      <c r="O20" s="23" t="s">
        <v>168</v>
      </c>
      <c r="P20" s="23" t="s">
        <v>191</v>
      </c>
    </row>
    <row r="21" spans="1:16" ht="12.75" customHeight="1" thickBot="1" x14ac:dyDescent="0.25">
      <c r="A21" s="3" t="str">
        <f t="shared" si="0"/>
        <v>IBVS 6131 </v>
      </c>
      <c r="B21" s="2" t="str">
        <f t="shared" si="1"/>
        <v>I</v>
      </c>
      <c r="C21" s="3">
        <f t="shared" si="2"/>
        <v>56398.467422000002</v>
      </c>
      <c r="D21" s="4" t="str">
        <f t="shared" si="3"/>
        <v>vis</v>
      </c>
      <c r="E21" s="20">
        <f>VLOOKUP(C21,Active!C$21:E$973,3,FALSE)</f>
        <v>38591.994814760823</v>
      </c>
      <c r="F21" s="2" t="s">
        <v>59</v>
      </c>
      <c r="G21" s="4" t="str">
        <f t="shared" si="4"/>
        <v>56398.467422</v>
      </c>
      <c r="H21" s="3">
        <f t="shared" si="5"/>
        <v>38592</v>
      </c>
      <c r="I21" s="21" t="s">
        <v>207</v>
      </c>
      <c r="J21" s="22" t="s">
        <v>208</v>
      </c>
      <c r="K21" s="21" t="s">
        <v>209</v>
      </c>
      <c r="L21" s="21" t="s">
        <v>210</v>
      </c>
      <c r="M21" s="22" t="s">
        <v>102</v>
      </c>
      <c r="N21" s="22" t="s">
        <v>51</v>
      </c>
      <c r="O21" s="23" t="s">
        <v>211</v>
      </c>
      <c r="P21" s="24" t="s">
        <v>212</v>
      </c>
    </row>
    <row r="22" spans="1:16" ht="12.75" customHeight="1" thickBot="1" x14ac:dyDescent="0.25">
      <c r="A22" s="3" t="str">
        <f t="shared" si="0"/>
        <v>IBVS 6133 </v>
      </c>
      <c r="B22" s="2" t="str">
        <f t="shared" si="1"/>
        <v>I</v>
      </c>
      <c r="C22" s="3">
        <f t="shared" si="2"/>
        <v>56398.467422000002</v>
      </c>
      <c r="D22" s="4" t="str">
        <f t="shared" si="3"/>
        <v>vis</v>
      </c>
      <c r="E22" s="20">
        <f>VLOOKUP(C22,Active!C$21:E$973,3,FALSE)</f>
        <v>38591.994814760823</v>
      </c>
      <c r="F22" s="2" t="s">
        <v>59</v>
      </c>
      <c r="G22" s="4" t="str">
        <f t="shared" si="4"/>
        <v>56398.467422</v>
      </c>
      <c r="H22" s="3">
        <f t="shared" si="5"/>
        <v>38592</v>
      </c>
      <c r="I22" s="21" t="s">
        <v>207</v>
      </c>
      <c r="J22" s="22" t="s">
        <v>208</v>
      </c>
      <c r="K22" s="21" t="s">
        <v>209</v>
      </c>
      <c r="L22" s="21" t="s">
        <v>210</v>
      </c>
      <c r="M22" s="22" t="s">
        <v>102</v>
      </c>
      <c r="N22" s="22" t="s">
        <v>51</v>
      </c>
      <c r="O22" s="23" t="s">
        <v>211</v>
      </c>
      <c r="P22" s="24" t="s">
        <v>213</v>
      </c>
    </row>
    <row r="23" spans="1:16" ht="12.75" customHeight="1" thickBot="1" x14ac:dyDescent="0.25">
      <c r="A23" s="3" t="str">
        <f t="shared" si="0"/>
        <v>IBVS 6131 </v>
      </c>
      <c r="B23" s="2" t="str">
        <f t="shared" si="1"/>
        <v>II</v>
      </c>
      <c r="C23" s="3">
        <f t="shared" si="2"/>
        <v>56398.517741000003</v>
      </c>
      <c r="D23" s="4" t="str">
        <f t="shared" si="3"/>
        <v>vis</v>
      </c>
      <c r="E23" s="20">
        <f>VLOOKUP(C23,Active!C$21:E$973,3,FALSE)</f>
        <v>38592.49294388845</v>
      </c>
      <c r="F23" s="2" t="s">
        <v>59</v>
      </c>
      <c r="G23" s="4" t="str">
        <f t="shared" si="4"/>
        <v>56398.517741</v>
      </c>
      <c r="H23" s="3">
        <f t="shared" si="5"/>
        <v>38592.5</v>
      </c>
      <c r="I23" s="21" t="s">
        <v>214</v>
      </c>
      <c r="J23" s="22" t="s">
        <v>215</v>
      </c>
      <c r="K23" s="21" t="s">
        <v>216</v>
      </c>
      <c r="L23" s="21" t="s">
        <v>217</v>
      </c>
      <c r="M23" s="22" t="s">
        <v>102</v>
      </c>
      <c r="N23" s="22" t="s">
        <v>51</v>
      </c>
      <c r="O23" s="23" t="s">
        <v>211</v>
      </c>
      <c r="P23" s="24" t="s">
        <v>212</v>
      </c>
    </row>
    <row r="24" spans="1:16" ht="12.75" customHeight="1" thickBot="1" x14ac:dyDescent="0.25">
      <c r="A24" s="3" t="str">
        <f t="shared" si="0"/>
        <v>IBVS 6133 </v>
      </c>
      <c r="B24" s="2" t="str">
        <f t="shared" si="1"/>
        <v>II</v>
      </c>
      <c r="C24" s="3">
        <f t="shared" si="2"/>
        <v>56398.517741000003</v>
      </c>
      <c r="D24" s="4" t="str">
        <f t="shared" si="3"/>
        <v>vis</v>
      </c>
      <c r="E24" s="20">
        <f>VLOOKUP(C24,Active!C$21:E$973,3,FALSE)</f>
        <v>38592.49294388845</v>
      </c>
      <c r="F24" s="2" t="s">
        <v>59</v>
      </c>
      <c r="G24" s="4" t="str">
        <f t="shared" si="4"/>
        <v>56398.517741</v>
      </c>
      <c r="H24" s="3">
        <f t="shared" si="5"/>
        <v>38592.5</v>
      </c>
      <c r="I24" s="21" t="s">
        <v>214</v>
      </c>
      <c r="J24" s="22" t="s">
        <v>215</v>
      </c>
      <c r="K24" s="21" t="s">
        <v>216</v>
      </c>
      <c r="L24" s="21" t="s">
        <v>217</v>
      </c>
      <c r="M24" s="22" t="s">
        <v>102</v>
      </c>
      <c r="N24" s="22" t="s">
        <v>51</v>
      </c>
      <c r="O24" s="23" t="s">
        <v>211</v>
      </c>
      <c r="P24" s="24" t="s">
        <v>213</v>
      </c>
    </row>
    <row r="25" spans="1:16" ht="12.75" customHeight="1" thickBot="1" x14ac:dyDescent="0.25">
      <c r="A25" s="3" t="str">
        <f t="shared" si="0"/>
        <v>IBVS 6131 </v>
      </c>
      <c r="B25" s="2" t="str">
        <f t="shared" si="1"/>
        <v>I</v>
      </c>
      <c r="C25" s="3">
        <f t="shared" si="2"/>
        <v>56398.568440000003</v>
      </c>
      <c r="D25" s="4" t="str">
        <f t="shared" si="3"/>
        <v>vis</v>
      </c>
      <c r="E25" s="20">
        <f>VLOOKUP(C25,Active!C$21:E$973,3,FALSE)</f>
        <v>38592.994834797268</v>
      </c>
      <c r="F25" s="2" t="s">
        <v>59</v>
      </c>
      <c r="G25" s="4" t="str">
        <f t="shared" si="4"/>
        <v>56398.56844</v>
      </c>
      <c r="H25" s="3">
        <f t="shared" si="5"/>
        <v>38593</v>
      </c>
      <c r="I25" s="21" t="s">
        <v>218</v>
      </c>
      <c r="J25" s="22" t="s">
        <v>219</v>
      </c>
      <c r="K25" s="21" t="s">
        <v>220</v>
      </c>
      <c r="L25" s="21" t="s">
        <v>221</v>
      </c>
      <c r="M25" s="22" t="s">
        <v>102</v>
      </c>
      <c r="N25" s="22" t="s">
        <v>51</v>
      </c>
      <c r="O25" s="23" t="s">
        <v>211</v>
      </c>
      <c r="P25" s="24" t="s">
        <v>212</v>
      </c>
    </row>
    <row r="26" spans="1:16" ht="12.75" customHeight="1" thickBot="1" x14ac:dyDescent="0.25">
      <c r="A26" s="3" t="str">
        <f t="shared" si="0"/>
        <v>IBVS 6133 </v>
      </c>
      <c r="B26" s="2" t="str">
        <f t="shared" si="1"/>
        <v>I</v>
      </c>
      <c r="C26" s="3">
        <f t="shared" si="2"/>
        <v>56398.568440000003</v>
      </c>
      <c r="D26" s="4" t="str">
        <f t="shared" si="3"/>
        <v>vis</v>
      </c>
      <c r="E26" s="20">
        <f>VLOOKUP(C26,Active!C$21:E$973,3,FALSE)</f>
        <v>38592.994834797268</v>
      </c>
      <c r="F26" s="2" t="s">
        <v>59</v>
      </c>
      <c r="G26" s="4" t="str">
        <f t="shared" si="4"/>
        <v>56398.568440</v>
      </c>
      <c r="H26" s="3">
        <f t="shared" si="5"/>
        <v>38593</v>
      </c>
      <c r="I26" s="21" t="s">
        <v>222</v>
      </c>
      <c r="J26" s="22" t="s">
        <v>219</v>
      </c>
      <c r="K26" s="21" t="s">
        <v>220</v>
      </c>
      <c r="L26" s="21" t="s">
        <v>223</v>
      </c>
      <c r="M26" s="22" t="s">
        <v>102</v>
      </c>
      <c r="N26" s="22" t="s">
        <v>51</v>
      </c>
      <c r="O26" s="23" t="s">
        <v>211</v>
      </c>
      <c r="P26" s="24" t="s">
        <v>213</v>
      </c>
    </row>
    <row r="27" spans="1:16" ht="12.75" customHeight="1" thickBot="1" x14ac:dyDescent="0.25">
      <c r="A27" s="3" t="str">
        <f t="shared" si="0"/>
        <v>IBVS 6131 </v>
      </c>
      <c r="B27" s="2" t="str">
        <f t="shared" si="1"/>
        <v>II</v>
      </c>
      <c r="C27" s="3">
        <f t="shared" si="2"/>
        <v>56404.478109999996</v>
      </c>
      <c r="D27" s="4" t="str">
        <f t="shared" si="3"/>
        <v>vis</v>
      </c>
      <c r="E27" s="20">
        <f>VLOOKUP(C27,Active!C$21:E$973,3,FALSE)</f>
        <v>38651.497165161265</v>
      </c>
      <c r="F27" s="2" t="s">
        <v>59</v>
      </c>
      <c r="G27" s="4" t="str">
        <f t="shared" si="4"/>
        <v>56404.47811</v>
      </c>
      <c r="H27" s="3">
        <f t="shared" si="5"/>
        <v>38651.5</v>
      </c>
      <c r="I27" s="21" t="s">
        <v>224</v>
      </c>
      <c r="J27" s="22" t="s">
        <v>225</v>
      </c>
      <c r="K27" s="21" t="s">
        <v>226</v>
      </c>
      <c r="L27" s="21" t="s">
        <v>227</v>
      </c>
      <c r="M27" s="22" t="s">
        <v>102</v>
      </c>
      <c r="N27" s="22" t="s">
        <v>51</v>
      </c>
      <c r="O27" s="23" t="s">
        <v>211</v>
      </c>
      <c r="P27" s="24" t="s">
        <v>212</v>
      </c>
    </row>
    <row r="28" spans="1:16" ht="12.75" customHeight="1" thickBot="1" x14ac:dyDescent="0.25">
      <c r="A28" s="3" t="str">
        <f t="shared" si="0"/>
        <v>IBVS 6133 </v>
      </c>
      <c r="B28" s="2" t="str">
        <f t="shared" si="1"/>
        <v>II</v>
      </c>
      <c r="C28" s="3">
        <f t="shared" si="2"/>
        <v>56404.478109999996</v>
      </c>
      <c r="D28" s="4" t="str">
        <f t="shared" si="3"/>
        <v>vis</v>
      </c>
      <c r="E28" s="20">
        <f>VLOOKUP(C28,Active!C$21:E$973,3,FALSE)</f>
        <v>38651.497165161265</v>
      </c>
      <c r="F28" s="2" t="s">
        <v>59</v>
      </c>
      <c r="G28" s="4" t="str">
        <f t="shared" si="4"/>
        <v>56404.478110</v>
      </c>
      <c r="H28" s="3">
        <f t="shared" si="5"/>
        <v>38651.5</v>
      </c>
      <c r="I28" s="21" t="s">
        <v>228</v>
      </c>
      <c r="J28" s="22" t="s">
        <v>225</v>
      </c>
      <c r="K28" s="21" t="s">
        <v>226</v>
      </c>
      <c r="L28" s="21" t="s">
        <v>229</v>
      </c>
      <c r="M28" s="22" t="s">
        <v>102</v>
      </c>
      <c r="N28" s="22" t="s">
        <v>51</v>
      </c>
      <c r="O28" s="23" t="s">
        <v>211</v>
      </c>
      <c r="P28" s="24" t="s">
        <v>213</v>
      </c>
    </row>
    <row r="29" spans="1:16" ht="12.75" customHeight="1" thickBot="1" x14ac:dyDescent="0.25">
      <c r="A29" s="3" t="str">
        <f t="shared" si="0"/>
        <v>IBVS 6131 </v>
      </c>
      <c r="B29" s="2" t="str">
        <f t="shared" si="1"/>
        <v>I</v>
      </c>
      <c r="C29" s="3">
        <f t="shared" si="2"/>
        <v>56404.528422000003</v>
      </c>
      <c r="D29" s="4" t="str">
        <f t="shared" si="3"/>
        <v>vis</v>
      </c>
      <c r="E29" s="20">
        <f>VLOOKUP(C29,Active!C$21:E$973,3,FALSE)</f>
        <v>38651.995224992977</v>
      </c>
      <c r="F29" s="2" t="s">
        <v>59</v>
      </c>
      <c r="G29" s="4" t="str">
        <f t="shared" si="4"/>
        <v>56404.528422</v>
      </c>
      <c r="H29" s="3">
        <f t="shared" si="5"/>
        <v>38652</v>
      </c>
      <c r="I29" s="21" t="s">
        <v>230</v>
      </c>
      <c r="J29" s="22" t="s">
        <v>231</v>
      </c>
      <c r="K29" s="21" t="s">
        <v>232</v>
      </c>
      <c r="L29" s="21" t="s">
        <v>233</v>
      </c>
      <c r="M29" s="22" t="s">
        <v>102</v>
      </c>
      <c r="N29" s="22" t="s">
        <v>51</v>
      </c>
      <c r="O29" s="23" t="s">
        <v>211</v>
      </c>
      <c r="P29" s="24" t="s">
        <v>212</v>
      </c>
    </row>
    <row r="30" spans="1:16" ht="12.75" customHeight="1" thickBot="1" x14ac:dyDescent="0.25">
      <c r="A30" s="3" t="str">
        <f t="shared" si="0"/>
        <v>IBVS 6133 </v>
      </c>
      <c r="B30" s="2" t="str">
        <f t="shared" si="1"/>
        <v>I</v>
      </c>
      <c r="C30" s="3">
        <f t="shared" si="2"/>
        <v>56404.528422000003</v>
      </c>
      <c r="D30" s="4" t="str">
        <f t="shared" si="3"/>
        <v>vis</v>
      </c>
      <c r="E30" s="20">
        <f>VLOOKUP(C30,Active!C$21:E$973,3,FALSE)</f>
        <v>38651.995224992977</v>
      </c>
      <c r="F30" s="2" t="s">
        <v>59</v>
      </c>
      <c r="G30" s="4" t="str">
        <f t="shared" si="4"/>
        <v>56404.528422</v>
      </c>
      <c r="H30" s="3">
        <f t="shared" si="5"/>
        <v>38652</v>
      </c>
      <c r="I30" s="21" t="s">
        <v>230</v>
      </c>
      <c r="J30" s="22" t="s">
        <v>231</v>
      </c>
      <c r="K30" s="21" t="s">
        <v>232</v>
      </c>
      <c r="L30" s="21" t="s">
        <v>233</v>
      </c>
      <c r="M30" s="22" t="s">
        <v>102</v>
      </c>
      <c r="N30" s="22" t="s">
        <v>51</v>
      </c>
      <c r="O30" s="23" t="s">
        <v>211</v>
      </c>
      <c r="P30" s="24" t="s">
        <v>213</v>
      </c>
    </row>
    <row r="31" spans="1:16" ht="12.75" customHeight="1" thickBot="1" x14ac:dyDescent="0.25">
      <c r="A31" s="3" t="str">
        <f t="shared" si="0"/>
        <v> BBS 122 </v>
      </c>
      <c r="B31" s="2" t="str">
        <f t="shared" si="1"/>
        <v>I</v>
      </c>
      <c r="C31" s="3">
        <f t="shared" si="2"/>
        <v>51660.4205</v>
      </c>
      <c r="D31" s="4" t="str">
        <f t="shared" si="3"/>
        <v>vis</v>
      </c>
      <c r="E31" s="20">
        <f>VLOOKUP(C31,Active!C$21:E$973,3,FALSE)</f>
        <v>-8311.941667523939</v>
      </c>
      <c r="F31" s="2" t="s">
        <v>59</v>
      </c>
      <c r="G31" s="4" t="str">
        <f t="shared" si="4"/>
        <v>51660.4205</v>
      </c>
      <c r="H31" s="3">
        <f t="shared" si="5"/>
        <v>-8311</v>
      </c>
      <c r="I31" s="21" t="s">
        <v>61</v>
      </c>
      <c r="J31" s="22" t="s">
        <v>62</v>
      </c>
      <c r="K31" s="21">
        <v>-8311</v>
      </c>
      <c r="L31" s="21" t="s">
        <v>63</v>
      </c>
      <c r="M31" s="22" t="s">
        <v>64</v>
      </c>
      <c r="N31" s="22" t="s">
        <v>65</v>
      </c>
      <c r="O31" s="23" t="s">
        <v>66</v>
      </c>
      <c r="P31" s="23" t="s">
        <v>67</v>
      </c>
    </row>
    <row r="32" spans="1:16" ht="12.75" customHeight="1" thickBot="1" x14ac:dyDescent="0.25">
      <c r="A32" s="3" t="str">
        <f t="shared" si="0"/>
        <v> BBS 127 </v>
      </c>
      <c r="B32" s="2" t="str">
        <f t="shared" si="1"/>
        <v>I</v>
      </c>
      <c r="C32" s="3">
        <f t="shared" si="2"/>
        <v>52308.632599999997</v>
      </c>
      <c r="D32" s="4" t="str">
        <f t="shared" si="3"/>
        <v>vis</v>
      </c>
      <c r="E32" s="20">
        <f>VLOOKUP(C32,Active!C$21:E$973,3,FALSE)</f>
        <v>-1895.0151013736788</v>
      </c>
      <c r="F32" s="2" t="s">
        <v>59</v>
      </c>
      <c r="G32" s="4" t="str">
        <f t="shared" si="4"/>
        <v>52308.6326</v>
      </c>
      <c r="H32" s="3">
        <f t="shared" si="5"/>
        <v>-1895</v>
      </c>
      <c r="I32" s="21" t="s">
        <v>68</v>
      </c>
      <c r="J32" s="22" t="s">
        <v>69</v>
      </c>
      <c r="K32" s="21">
        <v>-1895</v>
      </c>
      <c r="L32" s="21" t="s">
        <v>70</v>
      </c>
      <c r="M32" s="22" t="s">
        <v>64</v>
      </c>
      <c r="N32" s="22" t="s">
        <v>65</v>
      </c>
      <c r="O32" s="23" t="s">
        <v>66</v>
      </c>
      <c r="P32" s="23" t="s">
        <v>71</v>
      </c>
    </row>
    <row r="33" spans="1:16" ht="12.75" customHeight="1" thickBot="1" x14ac:dyDescent="0.25">
      <c r="A33" s="3" t="str">
        <f t="shared" si="0"/>
        <v> BBS 127 </v>
      </c>
      <c r="B33" s="2" t="str">
        <f t="shared" si="1"/>
        <v>I</v>
      </c>
      <c r="C33" s="3">
        <f t="shared" si="2"/>
        <v>52323.4836</v>
      </c>
      <c r="D33" s="4" t="str">
        <f t="shared" si="3"/>
        <v>vis</v>
      </c>
      <c r="E33" s="20">
        <f>VLOOKUP(C33,Active!C$21:E$973,3,FALSE)</f>
        <v>-1747.9987521973626</v>
      </c>
      <c r="F33" s="2" t="s">
        <v>59</v>
      </c>
      <c r="G33" s="4" t="str">
        <f t="shared" si="4"/>
        <v>52323.4836</v>
      </c>
      <c r="H33" s="3">
        <f t="shared" si="5"/>
        <v>-1748</v>
      </c>
      <c r="I33" s="21" t="s">
        <v>72</v>
      </c>
      <c r="J33" s="22" t="s">
        <v>73</v>
      </c>
      <c r="K33" s="21">
        <v>-1748</v>
      </c>
      <c r="L33" s="21" t="s">
        <v>74</v>
      </c>
      <c r="M33" s="22" t="s">
        <v>64</v>
      </c>
      <c r="N33" s="22" t="s">
        <v>65</v>
      </c>
      <c r="O33" s="23" t="s">
        <v>66</v>
      </c>
      <c r="P33" s="23" t="s">
        <v>71</v>
      </c>
    </row>
    <row r="34" spans="1:16" ht="12.75" customHeight="1" thickBot="1" x14ac:dyDescent="0.25">
      <c r="A34" s="3" t="str">
        <f t="shared" si="0"/>
        <v> BBS 127 </v>
      </c>
      <c r="B34" s="2" t="str">
        <f t="shared" si="1"/>
        <v>II</v>
      </c>
      <c r="C34" s="3">
        <f t="shared" si="2"/>
        <v>52323.535000000003</v>
      </c>
      <c r="D34" s="4" t="str">
        <f t="shared" si="3"/>
        <v>vis</v>
      </c>
      <c r="E34" s="20">
        <f>VLOOKUP(C34,Active!C$21:E$973,3,FALSE)</f>
        <v>-1747.4899217921213</v>
      </c>
      <c r="F34" s="2" t="s">
        <v>59</v>
      </c>
      <c r="G34" s="4" t="str">
        <f t="shared" si="4"/>
        <v>52323.535</v>
      </c>
      <c r="H34" s="3">
        <f t="shared" si="5"/>
        <v>-1747.5</v>
      </c>
      <c r="I34" s="21" t="s">
        <v>75</v>
      </c>
      <c r="J34" s="22" t="s">
        <v>76</v>
      </c>
      <c r="K34" s="21">
        <v>-1747.5</v>
      </c>
      <c r="L34" s="21" t="s">
        <v>77</v>
      </c>
      <c r="M34" s="22" t="s">
        <v>64</v>
      </c>
      <c r="N34" s="22" t="s">
        <v>65</v>
      </c>
      <c r="O34" s="23" t="s">
        <v>66</v>
      </c>
      <c r="P34" s="23" t="s">
        <v>71</v>
      </c>
    </row>
    <row r="35" spans="1:16" ht="12.75" customHeight="1" thickBot="1" x14ac:dyDescent="0.25">
      <c r="A35" s="3" t="str">
        <f t="shared" si="0"/>
        <v> BBS 127 </v>
      </c>
      <c r="B35" s="2" t="str">
        <f t="shared" si="1"/>
        <v>I</v>
      </c>
      <c r="C35" s="3">
        <f t="shared" si="2"/>
        <v>52323.584499999997</v>
      </c>
      <c r="D35" s="4" t="str">
        <f t="shared" si="3"/>
        <v>vis</v>
      </c>
      <c r="E35" s="20">
        <f>VLOOKUP(C35,Active!C$21:E$973,3,FALSE)</f>
        <v>-1746.9999002930099</v>
      </c>
      <c r="F35" s="2" t="s">
        <v>59</v>
      </c>
      <c r="G35" s="4" t="str">
        <f t="shared" si="4"/>
        <v>52323.5845</v>
      </c>
      <c r="H35" s="3">
        <f t="shared" si="5"/>
        <v>-1747</v>
      </c>
      <c r="I35" s="21" t="s">
        <v>78</v>
      </c>
      <c r="J35" s="22" t="s">
        <v>79</v>
      </c>
      <c r="K35" s="21">
        <v>-1747</v>
      </c>
      <c r="L35" s="21" t="s">
        <v>80</v>
      </c>
      <c r="M35" s="22" t="s">
        <v>64</v>
      </c>
      <c r="N35" s="22" t="s">
        <v>65</v>
      </c>
      <c r="O35" s="23" t="s">
        <v>66</v>
      </c>
      <c r="P35" s="23" t="s">
        <v>71</v>
      </c>
    </row>
    <row r="36" spans="1:16" ht="12.75" customHeight="1" thickBot="1" x14ac:dyDescent="0.25">
      <c r="A36" s="3" t="str">
        <f t="shared" si="0"/>
        <v> BBS 127 </v>
      </c>
      <c r="B36" s="2" t="str">
        <f t="shared" si="1"/>
        <v>II</v>
      </c>
      <c r="C36" s="3">
        <f t="shared" si="2"/>
        <v>52323.635300000002</v>
      </c>
      <c r="D36" s="4" t="str">
        <f t="shared" si="3"/>
        <v>vis</v>
      </c>
      <c r="E36" s="20">
        <f>VLOOKUP(C36,Active!C$21:E$973,3,FALSE)</f>
        <v>-1746.497009542298</v>
      </c>
      <c r="F36" s="2" t="s">
        <v>59</v>
      </c>
      <c r="G36" s="4" t="str">
        <f t="shared" si="4"/>
        <v>52323.6353</v>
      </c>
      <c r="H36" s="3">
        <f t="shared" si="5"/>
        <v>-1746.5</v>
      </c>
      <c r="I36" s="21" t="s">
        <v>81</v>
      </c>
      <c r="J36" s="22" t="s">
        <v>82</v>
      </c>
      <c r="K36" s="21">
        <v>-1746.5</v>
      </c>
      <c r="L36" s="21" t="s">
        <v>83</v>
      </c>
      <c r="M36" s="22" t="s">
        <v>64</v>
      </c>
      <c r="N36" s="22" t="s">
        <v>65</v>
      </c>
      <c r="O36" s="23" t="s">
        <v>66</v>
      </c>
      <c r="P36" s="23" t="s">
        <v>71</v>
      </c>
    </row>
    <row r="37" spans="1:16" ht="12.75" customHeight="1" thickBot="1" x14ac:dyDescent="0.25">
      <c r="A37" s="3" t="str">
        <f t="shared" si="0"/>
        <v> BBS 127 </v>
      </c>
      <c r="B37" s="2" t="str">
        <f t="shared" si="1"/>
        <v>I</v>
      </c>
      <c r="C37" s="3">
        <f t="shared" si="2"/>
        <v>52323.6855</v>
      </c>
      <c r="D37" s="4" t="str">
        <f t="shared" si="3"/>
        <v>vis</v>
      </c>
      <c r="E37" s="20">
        <f>VLOOKUP(C37,Active!C$21:E$973,3,FALSE)</f>
        <v>-1746.0000584461877</v>
      </c>
      <c r="F37" s="2" t="s">
        <v>59</v>
      </c>
      <c r="G37" s="4" t="str">
        <f t="shared" si="4"/>
        <v>52323.6855</v>
      </c>
      <c r="H37" s="3">
        <f t="shared" si="5"/>
        <v>-1746</v>
      </c>
      <c r="I37" s="21" t="s">
        <v>84</v>
      </c>
      <c r="J37" s="22" t="s">
        <v>85</v>
      </c>
      <c r="K37" s="21">
        <v>-1746</v>
      </c>
      <c r="L37" s="21" t="s">
        <v>80</v>
      </c>
      <c r="M37" s="22" t="s">
        <v>64</v>
      </c>
      <c r="N37" s="22" t="s">
        <v>65</v>
      </c>
      <c r="O37" s="23" t="s">
        <v>66</v>
      </c>
      <c r="P37" s="23" t="s">
        <v>71</v>
      </c>
    </row>
    <row r="38" spans="1:16" ht="12.75" customHeight="1" thickBot="1" x14ac:dyDescent="0.25">
      <c r="A38" s="3" t="str">
        <f t="shared" si="0"/>
        <v>VSB 44 </v>
      </c>
      <c r="B38" s="2" t="str">
        <f t="shared" si="1"/>
        <v>I</v>
      </c>
      <c r="C38" s="3">
        <f t="shared" si="2"/>
        <v>53445.165300000001</v>
      </c>
      <c r="D38" s="4" t="str">
        <f t="shared" si="3"/>
        <v>vis</v>
      </c>
      <c r="E38" s="20">
        <f>VLOOKUP(C38,Active!C$21:E$973,3,FALSE)</f>
        <v>9356.0042423388786</v>
      </c>
      <c r="F38" s="2" t="s">
        <v>59</v>
      </c>
      <c r="G38" s="4" t="str">
        <f t="shared" si="4"/>
        <v>53445.1653</v>
      </c>
      <c r="H38" s="3">
        <f t="shared" si="5"/>
        <v>9356</v>
      </c>
      <c r="I38" s="21" t="s">
        <v>86</v>
      </c>
      <c r="J38" s="22" t="s">
        <v>87</v>
      </c>
      <c r="K38" s="21">
        <v>9356</v>
      </c>
      <c r="L38" s="21" t="s">
        <v>88</v>
      </c>
      <c r="M38" s="22" t="s">
        <v>64</v>
      </c>
      <c r="N38" s="22" t="s">
        <v>65</v>
      </c>
      <c r="O38" s="23" t="s">
        <v>89</v>
      </c>
      <c r="P38" s="24" t="s">
        <v>90</v>
      </c>
    </row>
    <row r="39" spans="1:16" ht="12.75" customHeight="1" thickBot="1" x14ac:dyDescent="0.25">
      <c r="A39" s="3" t="str">
        <f t="shared" si="0"/>
        <v>VSB 45 </v>
      </c>
      <c r="B39" s="2" t="str">
        <f t="shared" si="1"/>
        <v>I</v>
      </c>
      <c r="C39" s="3">
        <f t="shared" si="2"/>
        <v>53814.176399999997</v>
      </c>
      <c r="D39" s="4" t="str">
        <f t="shared" si="3"/>
        <v>vis</v>
      </c>
      <c r="E39" s="20">
        <f>VLOOKUP(C39,Active!C$21:E$973,3,FALSE)</f>
        <v>13009.001665241531</v>
      </c>
      <c r="F39" s="2" t="s">
        <v>59</v>
      </c>
      <c r="G39" s="4" t="str">
        <f t="shared" si="4"/>
        <v>53814.1764</v>
      </c>
      <c r="H39" s="3">
        <f t="shared" si="5"/>
        <v>13009</v>
      </c>
      <c r="I39" s="21" t="s">
        <v>91</v>
      </c>
      <c r="J39" s="22" t="s">
        <v>92</v>
      </c>
      <c r="K39" s="21">
        <v>13009</v>
      </c>
      <c r="L39" s="21" t="s">
        <v>93</v>
      </c>
      <c r="M39" s="22" t="s">
        <v>64</v>
      </c>
      <c r="N39" s="22" t="s">
        <v>65</v>
      </c>
      <c r="O39" s="23" t="s">
        <v>94</v>
      </c>
      <c r="P39" s="24" t="s">
        <v>95</v>
      </c>
    </row>
    <row r="40" spans="1:16" ht="12.75" customHeight="1" thickBot="1" x14ac:dyDescent="0.25">
      <c r="A40" s="3" t="str">
        <f t="shared" si="0"/>
        <v>VSB 45 </v>
      </c>
      <c r="B40" s="2" t="str">
        <f t="shared" si="1"/>
        <v>II</v>
      </c>
      <c r="C40" s="3">
        <f t="shared" si="2"/>
        <v>53814.226799999997</v>
      </c>
      <c r="D40" s="4" t="str">
        <f t="shared" si="3"/>
        <v>vis</v>
      </c>
      <c r="E40" s="20">
        <f>VLOOKUP(C40,Active!C$21:E$973,3,FALSE)</f>
        <v>13009.500596222508</v>
      </c>
      <c r="F40" s="2" t="s">
        <v>59</v>
      </c>
      <c r="G40" s="4" t="str">
        <f t="shared" si="4"/>
        <v>53814.2268</v>
      </c>
      <c r="H40" s="3">
        <f t="shared" si="5"/>
        <v>13009.5</v>
      </c>
      <c r="I40" s="21" t="s">
        <v>96</v>
      </c>
      <c r="J40" s="22" t="s">
        <v>97</v>
      </c>
      <c r="K40" s="21">
        <v>13009.5</v>
      </c>
      <c r="L40" s="21" t="s">
        <v>83</v>
      </c>
      <c r="M40" s="22" t="s">
        <v>64</v>
      </c>
      <c r="N40" s="22" t="s">
        <v>65</v>
      </c>
      <c r="O40" s="23" t="s">
        <v>94</v>
      </c>
      <c r="P40" s="24" t="s">
        <v>95</v>
      </c>
    </row>
    <row r="41" spans="1:16" ht="12.75" customHeight="1" thickBot="1" x14ac:dyDescent="0.25">
      <c r="A41" s="3" t="str">
        <f t="shared" si="0"/>
        <v>VSB 45 </v>
      </c>
      <c r="B41" s="2" t="str">
        <f t="shared" si="1"/>
        <v>I</v>
      </c>
      <c r="C41" s="3">
        <f t="shared" si="2"/>
        <v>53814.277399999999</v>
      </c>
      <c r="D41" s="4" t="str">
        <f t="shared" si="3"/>
        <v>vis</v>
      </c>
      <c r="E41" s="20">
        <f>VLOOKUP(C41,Active!C$21:E$973,3,FALSE)</f>
        <v>13010.001507088353</v>
      </c>
      <c r="F41" s="2" t="s">
        <v>59</v>
      </c>
      <c r="G41" s="4" t="str">
        <f t="shared" si="4"/>
        <v>53814.2774</v>
      </c>
      <c r="H41" s="3">
        <f t="shared" si="5"/>
        <v>13010</v>
      </c>
      <c r="I41" s="21" t="s">
        <v>98</v>
      </c>
      <c r="J41" s="22" t="s">
        <v>99</v>
      </c>
      <c r="K41" s="21">
        <v>13010</v>
      </c>
      <c r="L41" s="21" t="s">
        <v>93</v>
      </c>
      <c r="M41" s="22" t="s">
        <v>64</v>
      </c>
      <c r="N41" s="22" t="s">
        <v>65</v>
      </c>
      <c r="O41" s="23" t="s">
        <v>94</v>
      </c>
      <c r="P41" s="24" t="s">
        <v>95</v>
      </c>
    </row>
    <row r="42" spans="1:16" ht="12.75" customHeight="1" thickBot="1" x14ac:dyDescent="0.25">
      <c r="A42" s="3" t="str">
        <f t="shared" si="0"/>
        <v>VSB 46 </v>
      </c>
      <c r="B42" s="2" t="str">
        <f t="shared" si="1"/>
        <v>II</v>
      </c>
      <c r="C42" s="3">
        <f t="shared" si="2"/>
        <v>54136.265299999999</v>
      </c>
      <c r="D42" s="4" t="str">
        <f t="shared" si="3"/>
        <v>vis</v>
      </c>
      <c r="E42" s="20">
        <f>VLOOKUP(C42,Active!C$21:E$973,3,FALSE)</f>
        <v>16197.496324739772</v>
      </c>
      <c r="F42" s="2" t="s">
        <v>59</v>
      </c>
      <c r="G42" s="4" t="str">
        <f t="shared" si="4"/>
        <v>54136.2653</v>
      </c>
      <c r="H42" s="3">
        <f t="shared" si="5"/>
        <v>16197.5</v>
      </c>
      <c r="I42" s="21" t="s">
        <v>106</v>
      </c>
      <c r="J42" s="22" t="s">
        <v>107</v>
      </c>
      <c r="K42" s="21" t="s">
        <v>108</v>
      </c>
      <c r="L42" s="21" t="s">
        <v>109</v>
      </c>
      <c r="M42" s="22" t="s">
        <v>102</v>
      </c>
      <c r="N42" s="22"/>
      <c r="O42" s="23" t="s">
        <v>110</v>
      </c>
      <c r="P42" s="24" t="s">
        <v>111</v>
      </c>
    </row>
    <row r="43" spans="1:16" ht="12.75" customHeight="1" thickBot="1" x14ac:dyDescent="0.25">
      <c r="A43" s="3" t="str">
        <f t="shared" si="0"/>
        <v>VSB 46 </v>
      </c>
      <c r="B43" s="2" t="str">
        <f t="shared" si="1"/>
        <v>I</v>
      </c>
      <c r="C43" s="3">
        <f t="shared" si="2"/>
        <v>54136.316099999996</v>
      </c>
      <c r="D43" s="4" t="str">
        <f t="shared" si="3"/>
        <v>vis</v>
      </c>
      <c r="E43" s="20">
        <f>VLOOKUP(C43,Active!C$21:E$973,3,FALSE)</f>
        <v>16197.99921549041</v>
      </c>
      <c r="F43" s="2" t="s">
        <v>59</v>
      </c>
      <c r="G43" s="4" t="str">
        <f t="shared" si="4"/>
        <v>54136.3161</v>
      </c>
      <c r="H43" s="3">
        <f t="shared" si="5"/>
        <v>16198</v>
      </c>
      <c r="I43" s="21" t="s">
        <v>112</v>
      </c>
      <c r="J43" s="22" t="s">
        <v>113</v>
      </c>
      <c r="K43" s="21" t="s">
        <v>114</v>
      </c>
      <c r="L43" s="21" t="s">
        <v>115</v>
      </c>
      <c r="M43" s="22" t="s">
        <v>102</v>
      </c>
      <c r="N43" s="22"/>
      <c r="O43" s="23" t="s">
        <v>110</v>
      </c>
      <c r="P43" s="24" t="s">
        <v>111</v>
      </c>
    </row>
    <row r="44" spans="1:16" ht="12.75" customHeight="1" thickBot="1" x14ac:dyDescent="0.25">
      <c r="A44" s="3" t="str">
        <f t="shared" si="0"/>
        <v>VSB 50 </v>
      </c>
      <c r="B44" s="2" t="str">
        <f t="shared" si="1"/>
        <v>II</v>
      </c>
      <c r="C44" s="3">
        <f t="shared" si="2"/>
        <v>54911.159500000002</v>
      </c>
      <c r="D44" s="4" t="str">
        <f t="shared" si="3"/>
        <v>vis</v>
      </c>
      <c r="E44" s="20">
        <f>VLOOKUP(C44,Active!C$21:E$973,3,FALSE)</f>
        <v>23868.502740596236</v>
      </c>
      <c r="F44" s="2" t="s">
        <v>59</v>
      </c>
      <c r="G44" s="4" t="str">
        <f t="shared" si="4"/>
        <v>54911.1595</v>
      </c>
      <c r="H44" s="3">
        <f t="shared" si="5"/>
        <v>23868.5</v>
      </c>
      <c r="I44" s="21" t="s">
        <v>140</v>
      </c>
      <c r="J44" s="22" t="s">
        <v>141</v>
      </c>
      <c r="K44" s="21" t="s">
        <v>142</v>
      </c>
      <c r="L44" s="21" t="s">
        <v>143</v>
      </c>
      <c r="M44" s="22" t="s">
        <v>102</v>
      </c>
      <c r="N44" s="22" t="s">
        <v>59</v>
      </c>
      <c r="O44" s="23" t="s">
        <v>110</v>
      </c>
      <c r="P44" s="24" t="s">
        <v>144</v>
      </c>
    </row>
    <row r="45" spans="1:16" ht="12.75" customHeight="1" thickBot="1" x14ac:dyDescent="0.25">
      <c r="A45" s="3" t="str">
        <f t="shared" si="0"/>
        <v>VSB 50 </v>
      </c>
      <c r="B45" s="2" t="str">
        <f t="shared" si="1"/>
        <v>I</v>
      </c>
      <c r="C45" s="3">
        <f t="shared" si="2"/>
        <v>54911.209600000002</v>
      </c>
      <c r="D45" s="4" t="str">
        <f t="shared" si="3"/>
        <v>vis</v>
      </c>
      <c r="E45" s="20">
        <f>VLOOKUP(C45,Active!C$21:E$973,3,FALSE)</f>
        <v>23868.998701749948</v>
      </c>
      <c r="F45" s="2" t="s">
        <v>59</v>
      </c>
      <c r="G45" s="4" t="str">
        <f t="shared" si="4"/>
        <v>54911.2096</v>
      </c>
      <c r="H45" s="3">
        <f t="shared" si="5"/>
        <v>23869</v>
      </c>
      <c r="I45" s="21" t="s">
        <v>145</v>
      </c>
      <c r="J45" s="22" t="s">
        <v>146</v>
      </c>
      <c r="K45" s="21" t="s">
        <v>147</v>
      </c>
      <c r="L45" s="21" t="s">
        <v>83</v>
      </c>
      <c r="M45" s="22" t="s">
        <v>102</v>
      </c>
      <c r="N45" s="22" t="s">
        <v>59</v>
      </c>
      <c r="O45" s="23" t="s">
        <v>110</v>
      </c>
      <c r="P45" s="24" t="s">
        <v>144</v>
      </c>
    </row>
    <row r="46" spans="1:16" ht="12.75" customHeight="1" thickBot="1" x14ac:dyDescent="0.25">
      <c r="A46" s="3" t="str">
        <f t="shared" si="0"/>
        <v>VSB 50 </v>
      </c>
      <c r="B46" s="2" t="str">
        <f t="shared" si="1"/>
        <v>I</v>
      </c>
      <c r="C46" s="3">
        <f t="shared" si="2"/>
        <v>54916.159399999997</v>
      </c>
      <c r="D46" s="4" t="str">
        <f t="shared" si="3"/>
        <v>vis</v>
      </c>
      <c r="E46" s="20">
        <f>VLOOKUP(C46,Active!C$21:E$973,3,FALSE)</f>
        <v>23917.998871782405</v>
      </c>
      <c r="F46" s="2" t="s">
        <v>59</v>
      </c>
      <c r="G46" s="4" t="str">
        <f t="shared" si="4"/>
        <v>54916.1594</v>
      </c>
      <c r="H46" s="3">
        <f t="shared" si="5"/>
        <v>23918</v>
      </c>
      <c r="I46" s="21" t="s">
        <v>148</v>
      </c>
      <c r="J46" s="22" t="s">
        <v>149</v>
      </c>
      <c r="K46" s="21" t="s">
        <v>150</v>
      </c>
      <c r="L46" s="21" t="s">
        <v>83</v>
      </c>
      <c r="M46" s="22" t="s">
        <v>102</v>
      </c>
      <c r="N46" s="22" t="s">
        <v>151</v>
      </c>
      <c r="O46" s="23" t="s">
        <v>110</v>
      </c>
      <c r="P46" s="24" t="s">
        <v>144</v>
      </c>
    </row>
    <row r="47" spans="1:16" ht="12.75" customHeight="1" thickBot="1" x14ac:dyDescent="0.25">
      <c r="A47" s="3" t="str">
        <f t="shared" si="0"/>
        <v>VSB 50 </v>
      </c>
      <c r="B47" s="2" t="str">
        <f t="shared" si="1"/>
        <v>II</v>
      </c>
      <c r="C47" s="3">
        <f t="shared" si="2"/>
        <v>54916.209799999997</v>
      </c>
      <c r="D47" s="4" t="str">
        <f t="shared" si="3"/>
        <v>vis</v>
      </c>
      <c r="E47" s="20">
        <f>VLOOKUP(C47,Active!C$21:E$973,3,FALSE)</f>
        <v>23918.497802763384</v>
      </c>
      <c r="F47" s="2" t="s">
        <v>59</v>
      </c>
      <c r="G47" s="4" t="str">
        <f t="shared" si="4"/>
        <v>54916.2098</v>
      </c>
      <c r="H47" s="3">
        <f t="shared" si="5"/>
        <v>23918.5</v>
      </c>
      <c r="I47" s="21" t="s">
        <v>152</v>
      </c>
      <c r="J47" s="22" t="s">
        <v>153</v>
      </c>
      <c r="K47" s="21" t="s">
        <v>154</v>
      </c>
      <c r="L47" s="21" t="s">
        <v>115</v>
      </c>
      <c r="M47" s="22" t="s">
        <v>102</v>
      </c>
      <c r="N47" s="22" t="s">
        <v>151</v>
      </c>
      <c r="O47" s="23" t="s">
        <v>110</v>
      </c>
      <c r="P47" s="24" t="s">
        <v>144</v>
      </c>
    </row>
    <row r="48" spans="1:16" ht="12.75" customHeight="1" thickBot="1" x14ac:dyDescent="0.25">
      <c r="A48" s="3" t="str">
        <f t="shared" si="0"/>
        <v>VSB 50 </v>
      </c>
      <c r="B48" s="2" t="str">
        <f t="shared" si="1"/>
        <v>I</v>
      </c>
      <c r="C48" s="3">
        <f t="shared" si="2"/>
        <v>54917.169300000001</v>
      </c>
      <c r="D48" s="4" t="str">
        <f t="shared" si="3"/>
        <v>vis</v>
      </c>
      <c r="E48" s="20">
        <f>VLOOKUP(C48,Active!C$21:E$973,3,FALSE)</f>
        <v>23927.996300308016</v>
      </c>
      <c r="F48" s="2" t="s">
        <v>59</v>
      </c>
      <c r="G48" s="4" t="str">
        <f t="shared" si="4"/>
        <v>54917.1693</v>
      </c>
      <c r="H48" s="3">
        <f t="shared" si="5"/>
        <v>23928</v>
      </c>
      <c r="I48" s="21" t="s">
        <v>155</v>
      </c>
      <c r="J48" s="22" t="s">
        <v>156</v>
      </c>
      <c r="K48" s="21" t="s">
        <v>157</v>
      </c>
      <c r="L48" s="21" t="s">
        <v>80</v>
      </c>
      <c r="M48" s="22" t="s">
        <v>102</v>
      </c>
      <c r="N48" s="22" t="s">
        <v>158</v>
      </c>
      <c r="O48" s="23" t="s">
        <v>110</v>
      </c>
      <c r="P48" s="24" t="s">
        <v>144</v>
      </c>
    </row>
    <row r="49" spans="1:16" ht="12.75" customHeight="1" thickBot="1" x14ac:dyDescent="0.25">
      <c r="A49" s="3" t="str">
        <f t="shared" si="0"/>
        <v>VSB 50 </v>
      </c>
      <c r="B49" s="2" t="str">
        <f t="shared" si="1"/>
        <v>II</v>
      </c>
      <c r="C49" s="3">
        <f t="shared" si="2"/>
        <v>54917.2192</v>
      </c>
      <c r="D49" s="4" t="str">
        <f t="shared" si="3"/>
        <v>vis</v>
      </c>
      <c r="E49" s="20">
        <f>VLOOKUP(C49,Active!C$21:E$973,3,FALSE)</f>
        <v>23928.490281576862</v>
      </c>
      <c r="F49" s="2" t="s">
        <v>59</v>
      </c>
      <c r="G49" s="4" t="str">
        <f t="shared" si="4"/>
        <v>54917.2192</v>
      </c>
      <c r="H49" s="3">
        <f t="shared" si="5"/>
        <v>23928.5</v>
      </c>
      <c r="I49" s="21" t="s">
        <v>159</v>
      </c>
      <c r="J49" s="22" t="s">
        <v>160</v>
      </c>
      <c r="K49" s="21" t="s">
        <v>161</v>
      </c>
      <c r="L49" s="21" t="s">
        <v>162</v>
      </c>
      <c r="M49" s="22" t="s">
        <v>102</v>
      </c>
      <c r="N49" s="22" t="s">
        <v>158</v>
      </c>
      <c r="O49" s="23" t="s">
        <v>110</v>
      </c>
      <c r="P49" s="24" t="s">
        <v>144</v>
      </c>
    </row>
    <row r="50" spans="1:16" ht="12.75" customHeight="1" thickBot="1" x14ac:dyDescent="0.25">
      <c r="A50" s="3" t="str">
        <f t="shared" si="0"/>
        <v>VSB 51 </v>
      </c>
      <c r="B50" s="2" t="str">
        <f t="shared" si="1"/>
        <v>I</v>
      </c>
      <c r="C50" s="3">
        <f t="shared" si="2"/>
        <v>55555.287300000004</v>
      </c>
      <c r="D50" s="4" t="str">
        <f t="shared" si="3"/>
        <v>vis</v>
      </c>
      <c r="E50" s="20">
        <f>VLOOKUP(C50,Active!C$21:E$973,3,FALSE)</f>
        <v>30244.997088381402</v>
      </c>
      <c r="F50" s="2" t="s">
        <v>59</v>
      </c>
      <c r="G50" s="4" t="str">
        <f t="shared" si="4"/>
        <v>55555.2873</v>
      </c>
      <c r="H50" s="3">
        <f t="shared" si="5"/>
        <v>30245</v>
      </c>
      <c r="I50" s="21" t="s">
        <v>170</v>
      </c>
      <c r="J50" s="22" t="s">
        <v>171</v>
      </c>
      <c r="K50" s="21" t="s">
        <v>172</v>
      </c>
      <c r="L50" s="21" t="s">
        <v>115</v>
      </c>
      <c r="M50" s="22" t="s">
        <v>102</v>
      </c>
      <c r="N50" s="22" t="s">
        <v>51</v>
      </c>
      <c r="O50" s="23" t="s">
        <v>89</v>
      </c>
      <c r="P50" s="24" t="s">
        <v>173</v>
      </c>
    </row>
    <row r="51" spans="1:16" ht="12.75" customHeight="1" thickBot="1" x14ac:dyDescent="0.25">
      <c r="A51" s="3" t="str">
        <f t="shared" si="0"/>
        <v>VSB 55 </v>
      </c>
      <c r="B51" s="2" t="str">
        <f t="shared" si="1"/>
        <v>I</v>
      </c>
      <c r="C51" s="3">
        <f t="shared" si="2"/>
        <v>55940.258800000003</v>
      </c>
      <c r="D51" s="4" t="str">
        <f t="shared" si="3"/>
        <v>vis</v>
      </c>
      <c r="E51" s="20">
        <f>VLOOKUP(C51,Active!C$21:E$973,3,FALSE)</f>
        <v>34055.993281696406</v>
      </c>
      <c r="F51" s="2" t="s">
        <v>59</v>
      </c>
      <c r="G51" s="4" t="str">
        <f t="shared" si="4"/>
        <v>55940.2588</v>
      </c>
      <c r="H51" s="3">
        <f t="shared" si="5"/>
        <v>34056</v>
      </c>
      <c r="I51" s="21" t="s">
        <v>183</v>
      </c>
      <c r="J51" s="22" t="s">
        <v>184</v>
      </c>
      <c r="K51" s="21" t="s">
        <v>185</v>
      </c>
      <c r="L51" s="21" t="s">
        <v>109</v>
      </c>
      <c r="M51" s="22" t="s">
        <v>102</v>
      </c>
      <c r="N51" s="22" t="s">
        <v>186</v>
      </c>
      <c r="O51" s="23" t="s">
        <v>89</v>
      </c>
      <c r="P51" s="24" t="s">
        <v>187</v>
      </c>
    </row>
    <row r="52" spans="1:16" ht="12.75" customHeight="1" thickBot="1" x14ac:dyDescent="0.25">
      <c r="A52" s="3" t="str">
        <f t="shared" si="0"/>
        <v> JAAVSO 41;122 </v>
      </c>
      <c r="B52" s="2" t="str">
        <f t="shared" si="1"/>
        <v>I</v>
      </c>
      <c r="C52" s="3">
        <f t="shared" si="2"/>
        <v>55979.554100000001</v>
      </c>
      <c r="D52" s="4" t="str">
        <f t="shared" si="3"/>
        <v>vis</v>
      </c>
      <c r="E52" s="20">
        <f>VLOOKUP(C52,Active!C$21:E$973,3,FALSE)</f>
        <v>34444.994126473648</v>
      </c>
      <c r="F52" s="2" t="s">
        <v>59</v>
      </c>
      <c r="G52" s="4" t="str">
        <f t="shared" si="4"/>
        <v>55979.5541</v>
      </c>
      <c r="H52" s="3">
        <f t="shared" si="5"/>
        <v>34445</v>
      </c>
      <c r="I52" s="21" t="s">
        <v>188</v>
      </c>
      <c r="J52" s="22" t="s">
        <v>189</v>
      </c>
      <c r="K52" s="21" t="s">
        <v>190</v>
      </c>
      <c r="L52" s="21" t="s">
        <v>80</v>
      </c>
      <c r="M52" s="22" t="s">
        <v>102</v>
      </c>
      <c r="N52" s="22" t="s">
        <v>120</v>
      </c>
      <c r="O52" s="23" t="s">
        <v>168</v>
      </c>
      <c r="P52" s="23" t="s">
        <v>191</v>
      </c>
    </row>
    <row r="53" spans="1:16" ht="12.75" customHeight="1" thickBot="1" x14ac:dyDescent="0.25">
      <c r="A53" s="3" t="str">
        <f t="shared" si="0"/>
        <v> JAAVSO 41;122 </v>
      </c>
      <c r="B53" s="2" t="str">
        <f t="shared" si="1"/>
        <v>I</v>
      </c>
      <c r="C53" s="3">
        <f t="shared" si="2"/>
        <v>55979.655100000004</v>
      </c>
      <c r="D53" s="4" t="str">
        <f t="shared" si="3"/>
        <v>vis</v>
      </c>
      <c r="E53" s="20">
        <f>VLOOKUP(C53,Active!C$21:E$973,3,FALSE)</f>
        <v>34445.993968320472</v>
      </c>
      <c r="F53" s="2" t="s">
        <v>59</v>
      </c>
      <c r="G53" s="4" t="str">
        <f t="shared" si="4"/>
        <v>55979.6551</v>
      </c>
      <c r="H53" s="3">
        <f t="shared" si="5"/>
        <v>34446</v>
      </c>
      <c r="I53" s="21" t="s">
        <v>195</v>
      </c>
      <c r="J53" s="22" t="s">
        <v>196</v>
      </c>
      <c r="K53" s="21" t="s">
        <v>197</v>
      </c>
      <c r="L53" s="21" t="s">
        <v>109</v>
      </c>
      <c r="M53" s="22" t="s">
        <v>102</v>
      </c>
      <c r="N53" s="22" t="s">
        <v>120</v>
      </c>
      <c r="O53" s="23" t="s">
        <v>168</v>
      </c>
      <c r="P53" s="23" t="s">
        <v>191</v>
      </c>
    </row>
    <row r="54" spans="1:16" ht="12.75" customHeight="1" thickBot="1" x14ac:dyDescent="0.25">
      <c r="A54" s="3" t="str">
        <f t="shared" si="0"/>
        <v>VSB 55 </v>
      </c>
      <c r="B54" s="2" t="str">
        <f t="shared" si="1"/>
        <v>II</v>
      </c>
      <c r="C54" s="3">
        <f t="shared" si="2"/>
        <v>56013.1423</v>
      </c>
      <c r="D54" s="4" t="str">
        <f t="shared" si="3"/>
        <v>vis</v>
      </c>
      <c r="E54" s="20">
        <f>VLOOKUP(C54,Active!C$21:E$973,3,FALSE)</f>
        <v>34777.497967252246</v>
      </c>
      <c r="F54" s="2" t="s">
        <v>59</v>
      </c>
      <c r="G54" s="4" t="str">
        <f t="shared" si="4"/>
        <v>56013.1423</v>
      </c>
      <c r="H54" s="3">
        <f t="shared" si="5"/>
        <v>34777.5</v>
      </c>
      <c r="I54" s="21" t="s">
        <v>198</v>
      </c>
      <c r="J54" s="22" t="s">
        <v>199</v>
      </c>
      <c r="K54" s="21" t="s">
        <v>200</v>
      </c>
      <c r="L54" s="21" t="s">
        <v>93</v>
      </c>
      <c r="M54" s="22" t="s">
        <v>102</v>
      </c>
      <c r="N54" s="22" t="s">
        <v>51</v>
      </c>
      <c r="O54" s="23" t="s">
        <v>89</v>
      </c>
      <c r="P54" s="24" t="s">
        <v>187</v>
      </c>
    </row>
    <row r="55" spans="1:16" ht="12.75" customHeight="1" thickBot="1" x14ac:dyDescent="0.25">
      <c r="A55" s="3" t="str">
        <f t="shared" si="0"/>
        <v>VSB 55 </v>
      </c>
      <c r="B55" s="2" t="str">
        <f t="shared" si="1"/>
        <v>I</v>
      </c>
      <c r="C55" s="3">
        <f t="shared" si="2"/>
        <v>56014.101699999999</v>
      </c>
      <c r="D55" s="4" t="str">
        <f t="shared" si="3"/>
        <v>vis</v>
      </c>
      <c r="E55" s="20">
        <f>VLOOKUP(C55,Active!C$21:E$973,3,FALSE)</f>
        <v>34786.995474854404</v>
      </c>
      <c r="F55" s="2" t="s">
        <v>59</v>
      </c>
      <c r="G55" s="4" t="str">
        <f t="shared" si="4"/>
        <v>56014.1017</v>
      </c>
      <c r="H55" s="3">
        <f t="shared" si="5"/>
        <v>34787</v>
      </c>
      <c r="I55" s="21" t="s">
        <v>201</v>
      </c>
      <c r="J55" s="22" t="s">
        <v>202</v>
      </c>
      <c r="K55" s="21" t="s">
        <v>203</v>
      </c>
      <c r="L55" s="21" t="s">
        <v>74</v>
      </c>
      <c r="M55" s="22" t="s">
        <v>102</v>
      </c>
      <c r="N55" s="22" t="s">
        <v>51</v>
      </c>
      <c r="O55" s="23" t="s">
        <v>89</v>
      </c>
      <c r="P55" s="24" t="s">
        <v>187</v>
      </c>
    </row>
    <row r="56" spans="1:16" ht="12.75" customHeight="1" thickBot="1" x14ac:dyDescent="0.25">
      <c r="A56" s="3" t="str">
        <f t="shared" si="0"/>
        <v>VSB 55 </v>
      </c>
      <c r="B56" s="2" t="str">
        <f t="shared" si="1"/>
        <v>II</v>
      </c>
      <c r="C56" s="3">
        <f t="shared" si="2"/>
        <v>56014.152399999999</v>
      </c>
      <c r="D56" s="4" t="str">
        <f t="shared" si="3"/>
        <v>vis</v>
      </c>
      <c r="E56" s="20">
        <f>VLOOKUP(C56,Active!C$21:E$973,3,FALSE)</f>
        <v>34787.49737566265</v>
      </c>
      <c r="F56" s="2" t="s">
        <v>59</v>
      </c>
      <c r="G56" s="4" t="str">
        <f t="shared" si="4"/>
        <v>56014.1524</v>
      </c>
      <c r="H56" s="3">
        <f t="shared" si="5"/>
        <v>34787.5</v>
      </c>
      <c r="I56" s="21" t="s">
        <v>204</v>
      </c>
      <c r="J56" s="22" t="s">
        <v>205</v>
      </c>
      <c r="K56" s="21" t="s">
        <v>206</v>
      </c>
      <c r="L56" s="21" t="s">
        <v>83</v>
      </c>
      <c r="M56" s="22" t="s">
        <v>102</v>
      </c>
      <c r="N56" s="22" t="s">
        <v>51</v>
      </c>
      <c r="O56" s="23" t="s">
        <v>89</v>
      </c>
      <c r="P56" s="24" t="s">
        <v>187</v>
      </c>
    </row>
    <row r="57" spans="1:16" x14ac:dyDescent="0.2">
      <c r="B57" s="2"/>
      <c r="E57" s="20"/>
      <c r="F57" s="2"/>
    </row>
    <row r="58" spans="1:16" x14ac:dyDescent="0.2">
      <c r="B58" s="2"/>
      <c r="E58" s="20"/>
      <c r="F58" s="2"/>
    </row>
    <row r="59" spans="1:16" x14ac:dyDescent="0.2">
      <c r="B59" s="2"/>
      <c r="E59" s="20"/>
      <c r="F59" s="2"/>
    </row>
    <row r="60" spans="1:16" x14ac:dyDescent="0.2">
      <c r="B60" s="2"/>
      <c r="E60" s="20"/>
      <c r="F60" s="2"/>
    </row>
    <row r="61" spans="1:16" x14ac:dyDescent="0.2">
      <c r="B61" s="2"/>
      <c r="E61" s="20"/>
      <c r="F61" s="2"/>
    </row>
    <row r="62" spans="1:16" x14ac:dyDescent="0.2">
      <c r="B62" s="2"/>
      <c r="E62" s="20"/>
      <c r="F62" s="2"/>
    </row>
    <row r="63" spans="1:16" x14ac:dyDescent="0.2">
      <c r="B63" s="2"/>
      <c r="E63" s="20"/>
      <c r="F63" s="2"/>
    </row>
    <row r="64" spans="1:16" x14ac:dyDescent="0.2">
      <c r="B64" s="2"/>
      <c r="E64" s="20"/>
      <c r="F64" s="2"/>
    </row>
    <row r="65" spans="2:6" x14ac:dyDescent="0.2">
      <c r="B65" s="2"/>
      <c r="E65" s="20"/>
      <c r="F65" s="2"/>
    </row>
    <row r="66" spans="2:6" x14ac:dyDescent="0.2">
      <c r="B66" s="2"/>
      <c r="E66" s="20"/>
      <c r="F66" s="2"/>
    </row>
    <row r="67" spans="2:6" x14ac:dyDescent="0.2">
      <c r="B67" s="2"/>
      <c r="E67" s="20"/>
      <c r="F67" s="2"/>
    </row>
    <row r="68" spans="2:6" x14ac:dyDescent="0.2">
      <c r="B68" s="2"/>
      <c r="E68" s="20"/>
      <c r="F68" s="2"/>
    </row>
    <row r="69" spans="2:6" x14ac:dyDescent="0.2">
      <c r="B69" s="2"/>
      <c r="E69" s="20"/>
      <c r="F69" s="2"/>
    </row>
    <row r="70" spans="2:6" x14ac:dyDescent="0.2">
      <c r="B70" s="2"/>
      <c r="E70" s="20"/>
      <c r="F70" s="2"/>
    </row>
    <row r="71" spans="2:6" x14ac:dyDescent="0.2">
      <c r="B71" s="2"/>
      <c r="E71" s="20"/>
      <c r="F71" s="2"/>
    </row>
    <row r="72" spans="2:6" x14ac:dyDescent="0.2">
      <c r="B72" s="2"/>
      <c r="E72" s="20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</sheetData>
  <phoneticPr fontId="8" type="noConversion"/>
  <hyperlinks>
    <hyperlink ref="P38" r:id="rId1" display="http://vsolj.cetus-net.org/no44.pdf" xr:uid="{00000000-0004-0000-0100-000000000000}"/>
    <hyperlink ref="P39" r:id="rId2" display="http://vsolj.cetus-net.org/no45.pdf" xr:uid="{00000000-0004-0000-0100-000001000000}"/>
    <hyperlink ref="P40" r:id="rId3" display="http://vsolj.cetus-net.org/no45.pdf" xr:uid="{00000000-0004-0000-0100-000002000000}"/>
    <hyperlink ref="P41" r:id="rId4" display="http://vsolj.cetus-net.org/no45.pdf" xr:uid="{00000000-0004-0000-0100-000003000000}"/>
    <hyperlink ref="P11" r:id="rId5" display="http://www.bav-astro.de/sfs/BAVM_link.php?BAVMnr=178" xr:uid="{00000000-0004-0000-0100-000004000000}"/>
    <hyperlink ref="P42" r:id="rId6" display="http://vsolj.cetus-net.org/no46.pdf" xr:uid="{00000000-0004-0000-0100-000005000000}"/>
    <hyperlink ref="P43" r:id="rId7" display="http://vsolj.cetus-net.org/no46.pdf" xr:uid="{00000000-0004-0000-0100-000006000000}"/>
    <hyperlink ref="P12" r:id="rId8" display="http://www.konkoly.hu/cgi-bin/IBVS?6007" xr:uid="{00000000-0004-0000-0100-000007000000}"/>
    <hyperlink ref="P13" r:id="rId9" display="http://www.konkoly.hu/cgi-bin/IBVS?6007" xr:uid="{00000000-0004-0000-0100-000008000000}"/>
    <hyperlink ref="P14" r:id="rId10" display="http://www.bav-astro.de/sfs/BAVM_link.php?BAVMnr=186" xr:uid="{00000000-0004-0000-0100-000009000000}"/>
    <hyperlink ref="P15" r:id="rId11" display="http://www.bav-astro.de/sfs/BAVM_link.php?BAVMnr=186" xr:uid="{00000000-0004-0000-0100-00000A000000}"/>
    <hyperlink ref="P16" r:id="rId12" display="http://www.bav-astro.de/sfs/BAVM_link.php?BAVMnr=186" xr:uid="{00000000-0004-0000-0100-00000B000000}"/>
    <hyperlink ref="P44" r:id="rId13" display="http://vsolj.cetus-net.org/vsoljno50.pdf" xr:uid="{00000000-0004-0000-0100-00000C000000}"/>
    <hyperlink ref="P45" r:id="rId14" display="http://vsolj.cetus-net.org/vsoljno50.pdf" xr:uid="{00000000-0004-0000-0100-00000D000000}"/>
    <hyperlink ref="P46" r:id="rId15" display="http://vsolj.cetus-net.org/vsoljno50.pdf" xr:uid="{00000000-0004-0000-0100-00000E000000}"/>
    <hyperlink ref="P47" r:id="rId16" display="http://vsolj.cetus-net.org/vsoljno50.pdf" xr:uid="{00000000-0004-0000-0100-00000F000000}"/>
    <hyperlink ref="P48" r:id="rId17" display="http://vsolj.cetus-net.org/vsoljno50.pdf" xr:uid="{00000000-0004-0000-0100-000010000000}"/>
    <hyperlink ref="P49" r:id="rId18" display="http://vsolj.cetus-net.org/vsoljno50.pdf" xr:uid="{00000000-0004-0000-0100-000011000000}"/>
    <hyperlink ref="P50" r:id="rId19" display="http://vsolj.cetus-net.org/vsoljno51.pdf" xr:uid="{00000000-0004-0000-0100-000012000000}"/>
    <hyperlink ref="P51" r:id="rId20" display="http://vsolj.cetus-net.org/vsoljno55.pdf" xr:uid="{00000000-0004-0000-0100-000013000000}"/>
    <hyperlink ref="P54" r:id="rId21" display="http://vsolj.cetus-net.org/vsoljno55.pdf" xr:uid="{00000000-0004-0000-0100-000014000000}"/>
    <hyperlink ref="P55" r:id="rId22" display="http://vsolj.cetus-net.org/vsoljno55.pdf" xr:uid="{00000000-0004-0000-0100-000015000000}"/>
    <hyperlink ref="P56" r:id="rId23" display="http://vsolj.cetus-net.org/vsoljno55.pdf" xr:uid="{00000000-0004-0000-0100-000016000000}"/>
    <hyperlink ref="P21" r:id="rId24" display="http://www.konkoly.hu/cgi-bin/IBVS?6131" xr:uid="{00000000-0004-0000-0100-000017000000}"/>
    <hyperlink ref="P22" r:id="rId25" display="http://www.konkoly.hu/cgi-bin/IBVS?6133" xr:uid="{00000000-0004-0000-0100-000018000000}"/>
    <hyperlink ref="P23" r:id="rId26" display="http://www.konkoly.hu/cgi-bin/IBVS?6131" xr:uid="{00000000-0004-0000-0100-000019000000}"/>
    <hyperlink ref="P24" r:id="rId27" display="http://www.konkoly.hu/cgi-bin/IBVS?6133" xr:uid="{00000000-0004-0000-0100-00001A000000}"/>
    <hyperlink ref="P25" r:id="rId28" display="http://www.konkoly.hu/cgi-bin/IBVS?6131" xr:uid="{00000000-0004-0000-0100-00001B000000}"/>
    <hyperlink ref="P26" r:id="rId29" display="http://www.konkoly.hu/cgi-bin/IBVS?6133" xr:uid="{00000000-0004-0000-0100-00001C000000}"/>
    <hyperlink ref="P27" r:id="rId30" display="http://www.konkoly.hu/cgi-bin/IBVS?6131" xr:uid="{00000000-0004-0000-0100-00001D000000}"/>
    <hyperlink ref="P28" r:id="rId31" display="http://www.konkoly.hu/cgi-bin/IBVS?6133" xr:uid="{00000000-0004-0000-0100-00001E000000}"/>
    <hyperlink ref="P29" r:id="rId32" display="http://www.konkoly.hu/cgi-bin/IBVS?6131" xr:uid="{00000000-0004-0000-0100-00001F000000}"/>
    <hyperlink ref="P30" r:id="rId33" display="http://www.konkoly.hu/cgi-bin/IBVS?6133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2024-03-09T06:10:58Z</dcterms:modified>
</cp:coreProperties>
</file>