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B28E20-3AEE-4729-9745-EB1739B6F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Active!$F$16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5" i="1" l="1"/>
  <c r="F95" i="1" s="1"/>
  <c r="G95" i="1" s="1"/>
  <c r="K95" i="1" s="1"/>
  <c r="Q95" i="1"/>
  <c r="F14" i="1"/>
  <c r="E94" i="1"/>
  <c r="F94" i="1"/>
  <c r="Q92" i="1"/>
  <c r="Q93" i="1"/>
  <c r="Q94" i="1"/>
  <c r="Q91" i="1"/>
  <c r="E88" i="1"/>
  <c r="F88" i="1"/>
  <c r="F59" i="1"/>
  <c r="F63" i="1"/>
  <c r="F67" i="1"/>
  <c r="E71" i="1"/>
  <c r="F71" i="1"/>
  <c r="E79" i="1"/>
  <c r="F79" i="1"/>
  <c r="Q87" i="1"/>
  <c r="Q90" i="1"/>
  <c r="Q85" i="1"/>
  <c r="Q86" i="1"/>
  <c r="Q88" i="1"/>
  <c r="Q89" i="1"/>
  <c r="C7" i="1"/>
  <c r="E92" i="1"/>
  <c r="F92" i="1"/>
  <c r="C8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3" i="1"/>
  <c r="F53" i="1"/>
  <c r="G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61" i="1"/>
  <c r="F61" i="1"/>
  <c r="E62" i="1"/>
  <c r="F62" i="1"/>
  <c r="E63" i="1"/>
  <c r="D9" i="1"/>
  <c r="C9" i="1"/>
  <c r="E58" i="1"/>
  <c r="F58" i="1"/>
  <c r="E59" i="1"/>
  <c r="E60" i="1"/>
  <c r="F60" i="1"/>
  <c r="E64" i="1"/>
  <c r="F64" i="1"/>
  <c r="E65" i="1"/>
  <c r="F65" i="1"/>
  <c r="E67" i="1"/>
  <c r="E70" i="1"/>
  <c r="F70" i="1"/>
  <c r="E52" i="1"/>
  <c r="F52" i="1"/>
  <c r="Q21" i="1"/>
  <c r="Q22" i="1"/>
  <c r="Q23" i="1"/>
  <c r="Q24" i="1"/>
  <c r="Q25" i="1"/>
  <c r="Q26" i="1"/>
  <c r="Q27" i="1"/>
  <c r="I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48" i="1"/>
  <c r="Q49" i="1"/>
  <c r="Q50" i="1"/>
  <c r="Q51" i="1"/>
  <c r="I53" i="1"/>
  <c r="Q53" i="1"/>
  <c r="Q54" i="1"/>
  <c r="Q55" i="1"/>
  <c r="Q56" i="1"/>
  <c r="Q57" i="1"/>
  <c r="Q61" i="1"/>
  <c r="Q62" i="1"/>
  <c r="Q63" i="1"/>
  <c r="G28" i="2"/>
  <c r="C28" i="2"/>
  <c r="G27" i="2"/>
  <c r="C27" i="2"/>
  <c r="G26" i="2"/>
  <c r="C26" i="2"/>
  <c r="G25" i="2"/>
  <c r="C25" i="2"/>
  <c r="G24" i="2"/>
  <c r="C24" i="2"/>
  <c r="G71" i="2"/>
  <c r="C71" i="2"/>
  <c r="E71" i="2"/>
  <c r="G23" i="2"/>
  <c r="C23" i="2"/>
  <c r="G70" i="2"/>
  <c r="C70" i="2"/>
  <c r="E70" i="2"/>
  <c r="G22" i="2"/>
  <c r="C22" i="2"/>
  <c r="G21" i="2"/>
  <c r="C21" i="2"/>
  <c r="G20" i="2"/>
  <c r="C20" i="2"/>
  <c r="G19" i="2"/>
  <c r="C19" i="2"/>
  <c r="G18" i="2"/>
  <c r="C18" i="2"/>
  <c r="E18" i="2"/>
  <c r="G69" i="2"/>
  <c r="C69" i="2"/>
  <c r="E69" i="2"/>
  <c r="G17" i="2"/>
  <c r="C17" i="2"/>
  <c r="G16" i="2"/>
  <c r="C16" i="2"/>
  <c r="G15" i="2"/>
  <c r="C15" i="2"/>
  <c r="E15" i="2"/>
  <c r="G14" i="2"/>
  <c r="C14" i="2"/>
  <c r="G13" i="2"/>
  <c r="C13" i="2"/>
  <c r="E13" i="2"/>
  <c r="G12" i="2"/>
  <c r="C12" i="2"/>
  <c r="E12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11" i="2"/>
  <c r="C11" i="2"/>
  <c r="E11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71" i="2"/>
  <c r="D71" i="2"/>
  <c r="B71" i="2"/>
  <c r="A71" i="2"/>
  <c r="H23" i="2"/>
  <c r="D23" i="2"/>
  <c r="B23" i="2"/>
  <c r="A23" i="2"/>
  <c r="H70" i="2"/>
  <c r="D70" i="2"/>
  <c r="B70" i="2"/>
  <c r="A70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69" i="2"/>
  <c r="D69" i="2"/>
  <c r="B69" i="2"/>
  <c r="A69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11" i="2"/>
  <c r="D11" i="2"/>
  <c r="B11" i="2"/>
  <c r="A11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84" i="1"/>
  <c r="Q80" i="1"/>
  <c r="Q81" i="1"/>
  <c r="Q82" i="1"/>
  <c r="Q83" i="1"/>
  <c r="Q60" i="1"/>
  <c r="Q59" i="1"/>
  <c r="Q58" i="1"/>
  <c r="Q79" i="1"/>
  <c r="C17" i="1"/>
  <c r="Q75" i="1"/>
  <c r="Q77" i="1"/>
  <c r="Q78" i="1"/>
  <c r="Q76" i="1"/>
  <c r="Q72" i="1"/>
  <c r="Q73" i="1"/>
  <c r="Q71" i="1"/>
  <c r="Q74" i="1"/>
  <c r="R2" i="1"/>
  <c r="Q68" i="1"/>
  <c r="Q67" i="1"/>
  <c r="Q69" i="1"/>
  <c r="Q70" i="1"/>
  <c r="Q66" i="1"/>
  <c r="Q65" i="1"/>
  <c r="Q64" i="1"/>
  <c r="Q52" i="1"/>
  <c r="E23" i="2"/>
  <c r="E68" i="1"/>
  <c r="F68" i="1"/>
  <c r="G68" i="1"/>
  <c r="K68" i="1"/>
  <c r="E84" i="1"/>
  <c r="F84" i="1"/>
  <c r="G84" i="1"/>
  <c r="J84" i="1"/>
  <c r="E76" i="1"/>
  <c r="F76" i="1"/>
  <c r="G70" i="1"/>
  <c r="K70" i="1"/>
  <c r="G62" i="1"/>
  <c r="I62" i="1"/>
  <c r="G58" i="1"/>
  <c r="E90" i="1"/>
  <c r="F90" i="1"/>
  <c r="E81" i="1"/>
  <c r="F81" i="1"/>
  <c r="G81" i="1"/>
  <c r="E73" i="1"/>
  <c r="F73" i="1"/>
  <c r="G73" i="1"/>
  <c r="J73" i="1"/>
  <c r="E69" i="1"/>
  <c r="F69" i="1"/>
  <c r="G69" i="1"/>
  <c r="K69" i="1"/>
  <c r="G80" i="1"/>
  <c r="E78" i="1"/>
  <c r="F78" i="1"/>
  <c r="G78" i="1"/>
  <c r="K78" i="1"/>
  <c r="G65" i="1"/>
  <c r="J65" i="1"/>
  <c r="G61" i="1"/>
  <c r="I61" i="1"/>
  <c r="E86" i="1"/>
  <c r="F86" i="1"/>
  <c r="G86" i="1"/>
  <c r="K86" i="1"/>
  <c r="G87" i="1"/>
  <c r="K87" i="1"/>
  <c r="E91" i="1"/>
  <c r="F91" i="1"/>
  <c r="G91" i="1"/>
  <c r="K91" i="1"/>
  <c r="E93" i="1"/>
  <c r="F93" i="1"/>
  <c r="G93" i="1"/>
  <c r="K93" i="1"/>
  <c r="E83" i="1"/>
  <c r="F83" i="1"/>
  <c r="G83" i="1"/>
  <c r="K83" i="1"/>
  <c r="E75" i="1"/>
  <c r="F75" i="1"/>
  <c r="G75" i="1"/>
  <c r="K75" i="1"/>
  <c r="E66" i="1"/>
  <c r="F66" i="1"/>
  <c r="G66" i="1"/>
  <c r="J66" i="1"/>
  <c r="E80" i="1"/>
  <c r="F80" i="1"/>
  <c r="E72" i="1"/>
  <c r="F72" i="1"/>
  <c r="G72" i="1"/>
  <c r="K72" i="1"/>
  <c r="G64" i="1"/>
  <c r="J64" i="1"/>
  <c r="G60" i="1"/>
  <c r="J60" i="1"/>
  <c r="E89" i="1"/>
  <c r="F89" i="1"/>
  <c r="G89" i="1"/>
  <c r="K89" i="1"/>
  <c r="E87" i="1"/>
  <c r="F87" i="1"/>
  <c r="G92" i="1"/>
  <c r="K92" i="1"/>
  <c r="G79" i="1"/>
  <c r="K79" i="1"/>
  <c r="E77" i="1"/>
  <c r="F77" i="1"/>
  <c r="G77" i="1"/>
  <c r="K77" i="1"/>
  <c r="G71" i="1"/>
  <c r="K71" i="1"/>
  <c r="G88" i="1"/>
  <c r="K88" i="1"/>
  <c r="E85" i="1"/>
  <c r="F85" i="1"/>
  <c r="G85" i="1"/>
  <c r="K85" i="1"/>
  <c r="G94" i="1"/>
  <c r="K94" i="1"/>
  <c r="E82" i="1"/>
  <c r="F82" i="1"/>
  <c r="G82" i="1"/>
  <c r="G76" i="1"/>
  <c r="K76" i="1"/>
  <c r="E74" i="1"/>
  <c r="F74" i="1"/>
  <c r="G74" i="1"/>
  <c r="K74" i="1"/>
  <c r="G67" i="1"/>
  <c r="J67" i="1"/>
  <c r="G63" i="1"/>
  <c r="I63" i="1"/>
  <c r="G59" i="1"/>
  <c r="J59" i="1"/>
  <c r="G90" i="1"/>
  <c r="K90" i="1"/>
  <c r="K82" i="1"/>
  <c r="N82" i="1"/>
  <c r="E22" i="2"/>
  <c r="E19" i="2"/>
  <c r="E28" i="2"/>
  <c r="N81" i="1"/>
  <c r="K81" i="1"/>
  <c r="E27" i="2"/>
  <c r="E24" i="2"/>
  <c r="E21" i="2"/>
  <c r="E14" i="2"/>
  <c r="E17" i="2"/>
  <c r="J58" i="1"/>
  <c r="E26" i="2"/>
  <c r="E20" i="2"/>
  <c r="N80" i="1"/>
  <c r="K80" i="1"/>
  <c r="E25" i="2"/>
  <c r="E16" i="2"/>
  <c r="C11" i="1"/>
  <c r="C12" i="1"/>
  <c r="O95" i="1" l="1"/>
  <c r="F15" i="1"/>
  <c r="O89" i="1"/>
  <c r="O83" i="1"/>
  <c r="O80" i="1"/>
  <c r="O86" i="1"/>
  <c r="O78" i="1"/>
  <c r="O90" i="1"/>
  <c r="O93" i="1"/>
  <c r="O79" i="1"/>
  <c r="O48" i="1"/>
  <c r="O57" i="1"/>
  <c r="O41" i="1"/>
  <c r="O29" i="1"/>
  <c r="O75" i="1"/>
  <c r="O24" i="1"/>
  <c r="O69" i="1"/>
  <c r="O27" i="1"/>
  <c r="O72" i="1"/>
  <c r="C15" i="1"/>
  <c r="O25" i="1"/>
  <c r="O28" i="1"/>
  <c r="O23" i="1"/>
  <c r="O68" i="1"/>
  <c r="O77" i="1"/>
  <c r="O59" i="1"/>
  <c r="O26" i="1"/>
  <c r="O51" i="1"/>
  <c r="O49" i="1"/>
  <c r="O34" i="1"/>
  <c r="O38" i="1"/>
  <c r="O56" i="1"/>
  <c r="O71" i="1"/>
  <c r="O35" i="1"/>
  <c r="O87" i="1"/>
  <c r="O67" i="1"/>
  <c r="O33" i="1"/>
  <c r="O36" i="1"/>
  <c r="O31" i="1"/>
  <c r="O88" i="1"/>
  <c r="O70" i="1"/>
  <c r="O21" i="1"/>
  <c r="O22" i="1"/>
  <c r="O44" i="1"/>
  <c r="O84" i="1"/>
  <c r="O58" i="1"/>
  <c r="O53" i="1"/>
  <c r="O85" i="1"/>
  <c r="O64" i="1"/>
  <c r="O50" i="1"/>
  <c r="O94" i="1"/>
  <c r="O62" i="1"/>
  <c r="O43" i="1"/>
  <c r="O65" i="1"/>
  <c r="O39" i="1"/>
  <c r="O30" i="1"/>
  <c r="O47" i="1"/>
  <c r="O37" i="1"/>
  <c r="O63" i="1"/>
  <c r="O42" i="1"/>
  <c r="O54" i="1"/>
  <c r="O92" i="1"/>
  <c r="O61" i="1"/>
  <c r="O45" i="1"/>
  <c r="O81" i="1"/>
  <c r="O91" i="1"/>
  <c r="O40" i="1"/>
  <c r="O73" i="1"/>
  <c r="O66" i="1"/>
  <c r="O46" i="1"/>
  <c r="O76" i="1"/>
  <c r="O74" i="1"/>
  <c r="O82" i="1"/>
  <c r="O32" i="1"/>
  <c r="O55" i="1"/>
  <c r="O60" i="1"/>
  <c r="C16" i="1"/>
  <c r="D18" i="1" s="1"/>
  <c r="F16" i="1" l="1"/>
  <c r="F17" i="1" s="1"/>
  <c r="C18" i="1"/>
  <c r="S2" i="1" s="1"/>
  <c r="F18" i="1" l="1"/>
</calcChain>
</file>

<file path=xl/sharedStrings.xml><?xml version="1.0" encoding="utf-8"?>
<sst xmlns="http://schemas.openxmlformats.org/spreadsheetml/2006/main" count="694" uniqueCount="307">
  <si>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</si>
  <si>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</si>
  <si>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</si>
  <si>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</si>
  <si>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</si>
  <si>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</si>
  <si>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</si>
  <si>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</si>
  <si>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</si>
  <si>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</si>
  <si>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</si>
  <si>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</si>
  <si>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</si>
  <si>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</si>
  <si>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</si>
  <si>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</si>
  <si>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</si>
  <si>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</si>
  <si>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</si>
  <si>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</si>
  <si>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</si>
  <si>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</si>
  <si>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</si>
  <si>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</si>
  <si>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</si>
  <si>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</si>
  <si>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</si>
  <si>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</si>
  <si>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</si>
  <si>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4711</t>
  </si>
  <si>
    <t>I</t>
  </si>
  <si>
    <t>IBVS 4383</t>
  </si>
  <si>
    <t>IBVS 4222</t>
  </si>
  <si>
    <t>IBVS 3615</t>
  </si>
  <si>
    <t>IBVS 5493</t>
  </si>
  <si>
    <t>IBVS 5502</t>
  </si>
  <si>
    <t>IBVS 5296</t>
  </si>
  <si>
    <t>EB</t>
  </si>
  <si>
    <t>IBVS 5594</t>
  </si>
  <si>
    <t>IBVS 5672</t>
  </si>
  <si>
    <t>IBVS 5694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</si>
  <si>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</si>
  <si>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</si>
  <si>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</si>
  <si>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</si>
  <si>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</si>
  <si>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</si>
  <si>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</si>
  <si>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5820</t>
  </si>
  <si>
    <t>IBVS 5871</t>
  </si>
  <si>
    <t>II</t>
  </si>
  <si>
    <t>OEJV 0074</t>
  </si>
  <si>
    <t>OEJV 0094</t>
  </si>
  <si>
    <t>Add cycle</t>
  </si>
  <si>
    <t>Old Cycle</t>
  </si>
  <si>
    <t>OEJV 0137</t>
  </si>
  <si>
    <t>PE</t>
  </si>
  <si>
    <t>IBVS 6042</t>
  </si>
  <si>
    <t>OEJV 0160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</si>
  <si>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</si>
  <si>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</si>
  <si>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</si>
  <si>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</si>
  <si>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</si>
  <si>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</si>
  <si>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</si>
  <si>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</si>
  <si>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</si>
  <si>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</si>
  <si>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</si>
  <si>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</si>
  <si>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2436394.420 </t>
  </si>
  <si>
    <t> 09.07.1958 22:04 </t>
  </si>
  <si>
    <t> -0.053 </t>
  </si>
  <si>
    <t>P </t>
  </si>
  <si>
    <t> K.Häussler </t>
  </si>
  <si>
    <t> MVS 11.25 </t>
  </si>
  <si>
    <t>2436605.265 </t>
  </si>
  <si>
    <t> 05.02.1959 18:21 </t>
  </si>
  <si>
    <t> -0.020 </t>
  </si>
  <si>
    <t>2437025.500 </t>
  </si>
  <si>
    <t> 01.04.1960 00:00 </t>
  </si>
  <si>
    <t> -0.061 </t>
  </si>
  <si>
    <t>2437349.494 </t>
  </si>
  <si>
    <t> 18.02.1961 23:51 </t>
  </si>
  <si>
    <t> -0.030 </t>
  </si>
  <si>
    <t>2437576.469 </t>
  </si>
  <si>
    <t> 03.10.1961 23:15 </t>
  </si>
  <si>
    <t> -0.032 </t>
  </si>
  <si>
    <t>2438001.423 </t>
  </si>
  <si>
    <t> 02.12.1962 22:09 </t>
  </si>
  <si>
    <t> -0.069 </t>
  </si>
  <si>
    <t>2438045.254 </t>
  </si>
  <si>
    <t> 15.01.1963 18:05 </t>
  </si>
  <si>
    <t> -0.017 </t>
  </si>
  <si>
    <t>2438049.283 </t>
  </si>
  <si>
    <t> 19.01.1963 18:47 </t>
  </si>
  <si>
    <t> -0.029 </t>
  </si>
  <si>
    <t>2438086.288 </t>
  </si>
  <si>
    <t> 25.02.1963 18:54 </t>
  </si>
  <si>
    <t> -0.067 </t>
  </si>
  <si>
    <t>2438238.534 </t>
  </si>
  <si>
    <t> 28.07.1963 00:48 </t>
  </si>
  <si>
    <t> -0.037 </t>
  </si>
  <si>
    <t>2438240.555 </t>
  </si>
  <si>
    <t> 30.07.1963 01:19 </t>
  </si>
  <si>
    <t> -0.036 </t>
  </si>
  <si>
    <t>2438300.492 </t>
  </si>
  <si>
    <t> 27.09.1963 23:48 </t>
  </si>
  <si>
    <t> -0.043 </t>
  </si>
  <si>
    <t>2439026.558 </t>
  </si>
  <si>
    <t> 23.09.1965 01:23 </t>
  </si>
  <si>
    <t> -0.031 </t>
  </si>
  <si>
    <t>2439352.525 </t>
  </si>
  <si>
    <t> 15.08.1966 00:36 </t>
  </si>
  <si>
    <t> -0.048 </t>
  </si>
  <si>
    <t>2439381.501 </t>
  </si>
  <si>
    <t> 13.09.1966 00:01 </t>
  </si>
  <si>
    <t> -0.033 </t>
  </si>
  <si>
    <t>2439387.595 </t>
  </si>
  <si>
    <t> 19.09.1966 02:16 </t>
  </si>
  <si>
    <t> -0.001 </t>
  </si>
  <si>
    <t>2439441.463 </t>
  </si>
  <si>
    <t> 11.11.1966 23:06 </t>
  </si>
  <si>
    <t> -0.015 </t>
  </si>
  <si>
    <t>2439508.447 </t>
  </si>
  <si>
    <t> 17.01.1967 22:43 </t>
  </si>
  <si>
    <t> -0.046 </t>
  </si>
  <si>
    <t>2439592.322 </t>
  </si>
  <si>
    <t> 11.04.1967 19:43 </t>
  </si>
  <si>
    <t> -0.024 </t>
  </si>
  <si>
    <t>2439678.507 </t>
  </si>
  <si>
    <t> 07.07.1967 00:10 </t>
  </si>
  <si>
    <t> -0.050 </t>
  </si>
  <si>
    <t>2439711.499 </t>
  </si>
  <si>
    <t> 08.08.1967 23:58 </t>
  </si>
  <si>
    <t> -0.060 </t>
  </si>
  <si>
    <t>2440068.542 </t>
  </si>
  <si>
    <t> 31.07.1968 01:00 </t>
  </si>
  <si>
    <t> 0.017 </t>
  </si>
  <si>
    <t>2440097.467 </t>
  </si>
  <si>
    <t> 28.08.1968 23:12 </t>
  </si>
  <si>
    <t> -0.019 </t>
  </si>
  <si>
    <t>2440101.535 </t>
  </si>
  <si>
    <t> 02.09.1968 00:50 </t>
  </si>
  <si>
    <t> 0.008 </t>
  </si>
  <si>
    <t>2440151.376 </t>
  </si>
  <si>
    <t> 21.10.1968 21:01 </t>
  </si>
  <si>
    <t>2441363.335 </t>
  </si>
  <si>
    <t> 15.02.1972 20:02 </t>
  </si>
  <si>
    <t>2441595.388 </t>
  </si>
  <si>
    <t> 04.10.1972 21:18 </t>
  </si>
  <si>
    <t> -0.007 </t>
  </si>
  <si>
    <t>2441598.413 </t>
  </si>
  <si>
    <t> 07.10.1972 21:54 </t>
  </si>
  <si>
    <t> -0.012 </t>
  </si>
  <si>
    <t>2441599.424 </t>
  </si>
  <si>
    <t> 08.10.1972 22:10 </t>
  </si>
  <si>
    <t>2441601.442 </t>
  </si>
  <si>
    <t> 10.10.1972 22:36 </t>
  </si>
  <si>
    <t> -0.014 </t>
  </si>
  <si>
    <t>2441717.303 </t>
  </si>
  <si>
    <t> 03.02.1973 19:16 </t>
  </si>
  <si>
    <t> 0.001 </t>
  </si>
  <si>
    <t>2441921.3782 </t>
  </si>
  <si>
    <t> 26.08.1973 21:04 </t>
  </si>
  <si>
    <t> 0.0000 </t>
  </si>
  <si>
    <t>E </t>
  </si>
  <si>
    <t>?</t>
  </si>
  <si>
    <t> L.Szabados </t>
  </si>
  <si>
    <t>IBVS 867 </t>
  </si>
  <si>
    <t>2441931.475 </t>
  </si>
  <si>
    <t> 05.09.1973 23:24 </t>
  </si>
  <si>
    <t> -0.006 </t>
  </si>
  <si>
    <t>2441960.449 </t>
  </si>
  <si>
    <t> 04.10.1973 22:46 </t>
  </si>
  <si>
    <t> 0.007 </t>
  </si>
  <si>
    <t>2441983.380 </t>
  </si>
  <si>
    <t> 27.10.1973 21:07 </t>
  </si>
  <si>
    <t> 0.038 </t>
  </si>
  <si>
    <t>2441987.408 </t>
  </si>
  <si>
    <t> 31.10.1973 21:47 </t>
  </si>
  <si>
    <t> 0.025 </t>
  </si>
  <si>
    <t>2441988.428 </t>
  </si>
  <si>
    <t> 01.11.1973 22:16 </t>
  </si>
  <si>
    <t> 0.035 </t>
  </si>
  <si>
    <t>2448151.4722 </t>
  </si>
  <si>
    <t> 16.09.1990 23:19 </t>
  </si>
  <si>
    <t> 3.4016 </t>
  </si>
  <si>
    <t> D.Hanzl </t>
  </si>
  <si>
    <t>IBVS 3615 </t>
  </si>
  <si>
    <t>2448985.2943 </t>
  </si>
  <si>
    <t> 28.12.1992 19:03 </t>
  </si>
  <si>
    <t> 3.4059 </t>
  </si>
  <si>
    <t>B</t>
  </si>
  <si>
    <t> F.Agerer </t>
  </si>
  <si>
    <t>BAVM 62 </t>
  </si>
  <si>
    <t>2448985.2945 </t>
  </si>
  <si>
    <t> 28.12.1992 19:04 </t>
  </si>
  <si>
    <t> 3.4061 </t>
  </si>
  <si>
    <t>B;V</t>
  </si>
  <si>
    <t>2449618.4070 </t>
  </si>
  <si>
    <t> 22.09.1994 21:46 </t>
  </si>
  <si>
    <t> 3.4098 </t>
  </si>
  <si>
    <t>o</t>
  </si>
  <si>
    <t> W.Moschner </t>
  </si>
  <si>
    <t>BAVM 69 </t>
  </si>
  <si>
    <t>2449641.3107 </t>
  </si>
  <si>
    <t> 15.10.1994 19:27 </t>
  </si>
  <si>
    <t> 3.0771 </t>
  </si>
  <si>
    <t>BAVM 80 </t>
  </si>
  <si>
    <t>2450033.3014 </t>
  </si>
  <si>
    <t> 11.11.1995 19:14 </t>
  </si>
  <si>
    <t> 3.0792 </t>
  </si>
  <si>
    <t>BAVM 91 </t>
  </si>
  <si>
    <t>2450751.2736 </t>
  </si>
  <si>
    <t> 29.10.1997 18:33 </t>
  </si>
  <si>
    <t> 3.0790 </t>
  </si>
  <si>
    <t>BAVM 117 </t>
  </si>
  <si>
    <t>2451782.4357 </t>
  </si>
  <si>
    <t> 25.08.2000 22:27 </t>
  </si>
  <si>
    <t> 3.0820 </t>
  </si>
  <si>
    <t> D.Husar </t>
  </si>
  <si>
    <t>BAVM 152 </t>
  </si>
  <si>
    <t>2452448.5471 </t>
  </si>
  <si>
    <t> 23.06.2002 01:07 </t>
  </si>
  <si>
    <t> 3.0821 </t>
  </si>
  <si>
    <t> Sarounova &amp; Wolf </t>
  </si>
  <si>
    <t>IBVS 5594 </t>
  </si>
  <si>
    <t>2452648.5846 </t>
  </si>
  <si>
    <t> 09.01.2003 02:01 </t>
  </si>
  <si>
    <t> 3.0842 </t>
  </si>
  <si>
    <t> S.Dvorak </t>
  </si>
  <si>
    <t>IBVS 5502 </t>
  </si>
  <si>
    <t>2452951.6681 </t>
  </si>
  <si>
    <t> 08.11.2003 04:02 </t>
  </si>
  <si>
    <t> 3.0837 </t>
  </si>
  <si>
    <t> R.Nelson </t>
  </si>
  <si>
    <t>IBVS 5493 </t>
  </si>
  <si>
    <t>2453640.0067 </t>
  </si>
  <si>
    <t> 26.09.2005 12:09 </t>
  </si>
  <si>
    <t> 3.0849 </t>
  </si>
  <si>
    <t> C.-H.Kim et al. </t>
  </si>
  <si>
    <t>IBVS 5694 </t>
  </si>
  <si>
    <t>2453697.2575 </t>
  </si>
  <si>
    <t> 22.11.2005 18:10 </t>
  </si>
  <si>
    <t> 3.0865 </t>
  </si>
  <si>
    <t>C </t>
  </si>
  <si>
    <t> Moschner </t>
  </si>
  <si>
    <t>BAVM 178 </t>
  </si>
  <si>
    <t>2453735.6466 </t>
  </si>
  <si>
    <t> 31.12.2005 03:31 </t>
  </si>
  <si>
    <t>IBVS 5672 </t>
  </si>
  <si>
    <t>2454003.37425 </t>
  </si>
  <si>
    <t> 24.09.2006 20:58 </t>
  </si>
  <si>
    <t> 3.08837 </t>
  </si>
  <si>
    <t>R</t>
  </si>
  <si>
    <t> P.Svoboda </t>
  </si>
  <si>
    <t>OEJV 0074 </t>
  </si>
  <si>
    <t>2454354.954 </t>
  </si>
  <si>
    <t> 11.09.2007 10:53 </t>
  </si>
  <si>
    <t> 3.091 </t>
  </si>
  <si>
    <t>IBVS 5820 </t>
  </si>
  <si>
    <t>2454456.3139 </t>
  </si>
  <si>
    <t> 21.12.2007 19:32 </t>
  </si>
  <si>
    <t> 3.0858 </t>
  </si>
  <si>
    <t> H.Kucáková </t>
  </si>
  <si>
    <t>OEJV 0094 </t>
  </si>
  <si>
    <t>2454761.7645 </t>
  </si>
  <si>
    <t> 22.10.2008 06:20 </t>
  </si>
  <si>
    <t> 3.0951 </t>
  </si>
  <si>
    <t> R.Diethelm </t>
  </si>
  <si>
    <t>IBVS 5871 </t>
  </si>
  <si>
    <t>2455500.2759 </t>
  </si>
  <si>
    <t> 30.10.2010 18:37 </t>
  </si>
  <si>
    <t> 3.0918 </t>
  </si>
  <si>
    <t> M.Lehky </t>
  </si>
  <si>
    <t>OEJV 0137 </t>
  </si>
  <si>
    <t>2455829.29271 </t>
  </si>
  <si>
    <t> 24.09.2011 19:01 </t>
  </si>
  <si>
    <t> 3.09411 </t>
  </si>
  <si>
    <t>OEJV 0160 </t>
  </si>
  <si>
    <t>2455829.62785 </t>
  </si>
  <si>
    <t> 25.09.2011 03:04 </t>
  </si>
  <si>
    <t> 3.09249 </t>
  </si>
  <si>
    <t>2456252.26765 </t>
  </si>
  <si>
    <t> 20.11.2012 18:25 </t>
  </si>
  <si>
    <t> 3.09849 </t>
  </si>
  <si>
    <t>2456255.6322 </t>
  </si>
  <si>
    <t> 24.11.2012 03:10 </t>
  </si>
  <si>
    <t> 3.0954 </t>
  </si>
  <si>
    <t>IBVS 6042 </t>
  </si>
  <si>
    <t>2456886.3862 </t>
  </si>
  <si>
    <t> 16.08.2014 21:16 </t>
  </si>
  <si>
    <t> 3.0980 </t>
  </si>
  <si>
    <t>-I</t>
  </si>
  <si>
    <t>BAVM 238 </t>
  </si>
  <si>
    <t>IBVS 6209</t>
  </si>
  <si>
    <t>OEJV 0179</t>
  </si>
  <si>
    <t>2020JAVSO..48….1</t>
  </si>
  <si>
    <t>OEJV 0211</t>
  </si>
  <si>
    <t>V0445 Cas / gsc 3654-0879</t>
  </si>
  <si>
    <t>JBAV 96</t>
  </si>
  <si>
    <t xml:space="preserve">Mag </t>
  </si>
  <si>
    <t>Next ToM-P</t>
  </si>
  <si>
    <t>Next ToM-S</t>
  </si>
  <si>
    <t>10.89-11.32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</si>
</sst>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8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/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4" fillId="0" borderId="0" xfId="43" applyFont="1"/>
    <xf numFmtId="0" fontId="4" fillId="0" borderId="0" xfId="43" applyFont="1" applyAlignment="1">
      <alignment horizontal="center"/>
    </xf>
    <xf numFmtId="0" fontId="4" fillId="0" borderId="0" xfId="43" applyFont="1" applyAlignment="1">
      <alignment horizontal="left"/>
    </xf>
    <xf numFmtId="0" fontId="4" fillId="0" borderId="0" xfId="42" applyFont="1" applyAlignment="1">
      <alignment wrapText="1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/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3" fillId="0" borderId="22" xfId="0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5" fillId="25" borderId="19" xfId="0" applyFont="1" applyFill="1" applyBorder="1" applyAlignment="1">
      <alignment horizontal="right" vertical="center"/>
    </xf>
    <xf numFmtId="0" fontId="5" fillId="25" borderId="20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Cas - O-C Diagr.</a:t>
            </a:r>
          </a:p>
        </c:rich>
      </c:tx>
      <c:layout>
        <c:manualLayout>
          <c:xMode val="edge"/>
          <c:yMode val="edge"/>
          <c:x val="0.349005804654165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3214774185175"/>
          <c:y val="0.14769252958613219"/>
          <c:w val="0.784810819545041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C-4F71-85B6-51825BABB6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Active!$D$22:$D$37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-5.3079999997862615E-2</c:v>
                </c:pt>
                <c:pt idx="1">
                  <c:v>-1.9840000000840519E-2</c:v>
                </c:pt>
                <c:pt idx="2">
                  <c:v>-6.1320000000705477E-2</c:v>
                </c:pt>
                <c:pt idx="3">
                  <c:v>-3.0440000002272427E-2</c:v>
                </c:pt>
                <c:pt idx="4">
                  <c:v>-3.1680000000051223E-2</c:v>
                </c:pt>
                <c:pt idx="5">
                  <c:v>-6.8799999993643723E-2</c:v>
                </c:pt>
                <c:pt idx="6">
                  <c:v>-1.6599999995378312E-2</c:v>
                </c:pt>
                <c:pt idx="7">
                  <c:v>-2.8719999994791579E-2</c:v>
                </c:pt>
                <c:pt idx="8">
                  <c:v>-6.7320000001927838E-2</c:v>
                </c:pt>
                <c:pt idx="9">
                  <c:v>-3.6840000000665896E-2</c:v>
                </c:pt>
                <c:pt idx="10">
                  <c:v>-3.6399999997229315E-2</c:v>
                </c:pt>
                <c:pt idx="11">
                  <c:v>-4.2679999998654239E-2</c:v>
                </c:pt>
                <c:pt idx="12">
                  <c:v>-3.12400000038906E-2</c:v>
                </c:pt>
                <c:pt idx="13">
                  <c:v>-4.7919999997247942E-2</c:v>
                </c:pt>
                <c:pt idx="14">
                  <c:v>-3.3280000003287569E-2</c:v>
                </c:pt>
                <c:pt idx="15">
                  <c:v>-9.59999997576233E-4</c:v>
                </c:pt>
                <c:pt idx="16">
                  <c:v>-1.4559999995981343E-2</c:v>
                </c:pt>
                <c:pt idx="17">
                  <c:v>-4.5799999999871943E-2</c:v>
                </c:pt>
                <c:pt idx="18">
                  <c:v>-2.4039999996603001E-2</c:v>
                </c:pt>
                <c:pt idx="19">
                  <c:v>-4.9599999998463318E-2</c:v>
                </c:pt>
                <c:pt idx="20">
                  <c:v>-6.0079999995650724E-2</c:v>
                </c:pt>
                <c:pt idx="21">
                  <c:v>1.7319999999017455E-2</c:v>
                </c:pt>
                <c:pt idx="22">
                  <c:v>-1.9039999999222346E-2</c:v>
                </c:pt>
                <c:pt idx="23">
                  <c:v>7.8400000056717545E-3</c:v>
                </c:pt>
                <c:pt idx="24">
                  <c:v>8.3599999998114072E-3</c:v>
                </c:pt>
                <c:pt idx="25">
                  <c:v>-3.1880000002274755E-2</c:v>
                </c:pt>
                <c:pt idx="26">
                  <c:v>-6.5200000026379712E-3</c:v>
                </c:pt>
                <c:pt idx="27">
                  <c:v>-1.2360000000626314E-2</c:v>
                </c:pt>
                <c:pt idx="28">
                  <c:v>-1.1639999996987171E-2</c:v>
                </c:pt>
                <c:pt idx="29">
                  <c:v>-1.419999999779975E-2</c:v>
                </c:pt>
                <c:pt idx="30">
                  <c:v>1.3600000020232983E-3</c:v>
                </c:pt>
                <c:pt idx="32">
                  <c:v>-6.0000000012223609E-3</c:v>
                </c:pt>
                <c:pt idx="33">
                  <c:v>6.6399999996065162E-3</c:v>
                </c:pt>
                <c:pt idx="34">
                  <c:v>3.7960000001476146E-2</c:v>
                </c:pt>
                <c:pt idx="35">
                  <c:v>2.4840000005497131E-2</c:v>
                </c:pt>
                <c:pt idx="36">
                  <c:v>3.4560000000055879E-2</c:v>
                </c:pt>
                <c:pt idx="40">
                  <c:v>3.8339999999152496E-2</c:v>
                </c:pt>
                <c:pt idx="41">
                  <c:v>3.8540000001376029E-2</c:v>
                </c:pt>
                <c:pt idx="42">
                  <c:v>4.2240000002493616E-2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C-4F71-85B6-51825BABB6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7">
                  <c:v>3.3800000004703179E-2</c:v>
                </c:pt>
                <c:pt idx="38">
                  <c:v>3.3800000004703179E-2</c:v>
                </c:pt>
                <c:pt idx="39">
                  <c:v>3.4400000004097819E-2</c:v>
                </c:pt>
                <c:pt idx="43">
                  <c:v>4.6260000002803281E-2</c:v>
                </c:pt>
                <c:pt idx="44">
                  <c:v>4.8319999994419049E-2</c:v>
                </c:pt>
                <c:pt idx="45">
                  <c:v>4.8200000004726462E-2</c:v>
                </c:pt>
                <c:pt idx="46">
                  <c:v>5.1180000002204906E-2</c:v>
                </c:pt>
                <c:pt idx="52">
                  <c:v>5.5619999999180436E-2</c:v>
                </c:pt>
                <c:pt idx="63">
                  <c:v>6.7119999999704305E-2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DC-4F71-85B6-51825BABB6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7">
                  <c:v>5.1300000006449409E-2</c:v>
                </c:pt>
                <c:pt idx="48">
                  <c:v>5.3360000005341135E-2</c:v>
                </c:pt>
                <c:pt idx="49">
                  <c:v>5.2869999999529682E-2</c:v>
                </c:pt>
                <c:pt idx="50">
                  <c:v>5.401999999594409E-2</c:v>
                </c:pt>
                <c:pt idx="51">
                  <c:v>5.401999999594409E-2</c:v>
                </c:pt>
                <c:pt idx="53">
                  <c:v>5.408000000170432E-2</c:v>
                </c:pt>
                <c:pt idx="54">
                  <c:v>5.7529999998223502E-2</c:v>
                </c:pt>
                <c:pt idx="55">
                  <c:v>5.9840000001713634E-2</c:v>
                </c:pt>
                <c:pt idx="56">
                  <c:v>5.5070000002160668E-2</c:v>
                </c:pt>
                <c:pt idx="57">
                  <c:v>6.4259999999194406E-2</c:v>
                </c:pt>
                <c:pt idx="58">
                  <c:v>6.1020000001008157E-2</c:v>
                </c:pt>
                <c:pt idx="59">
                  <c:v>6.3270000006014016E-2</c:v>
                </c:pt>
                <c:pt idx="60">
                  <c:v>6.1649999996006954E-2</c:v>
                </c:pt>
                <c:pt idx="61">
                  <c:v>6.7650000004505273E-2</c:v>
                </c:pt>
                <c:pt idx="62">
                  <c:v>6.4600000005157199E-2</c:v>
                </c:pt>
                <c:pt idx="64">
                  <c:v>7.076000000233762E-2</c:v>
                </c:pt>
                <c:pt idx="65">
                  <c:v>6.9139999999606516E-2</c:v>
                </c:pt>
                <c:pt idx="66">
                  <c:v>7.0240000000922009E-2</c:v>
                </c:pt>
                <c:pt idx="67">
                  <c:v>7.2079999998095445E-2</c:v>
                </c:pt>
                <c:pt idx="68">
                  <c:v>6.618000000162283E-2</c:v>
                </c:pt>
                <c:pt idx="69">
                  <c:v>7.4860000000626314E-2</c:v>
                </c:pt>
                <c:pt idx="70">
                  <c:v>7.9579999997804407E-2</c:v>
                </c:pt>
                <c:pt idx="71">
                  <c:v>8.0739999917568639E-2</c:v>
                </c:pt>
                <c:pt idx="72">
                  <c:v>8.1880000216187909E-2</c:v>
                </c:pt>
                <c:pt idx="73">
                  <c:v>8.3390000072540715E-2</c:v>
                </c:pt>
                <c:pt idx="74">
                  <c:v>7.7419999994162936E-2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DC-4F71-85B6-51825BABB6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DC-4F71-85B6-51825BABB6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DC-4F71-85B6-51825BABB6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59">
                  <c:v>6.3270000006014016E-2</c:v>
                </c:pt>
                <c:pt idx="60">
                  <c:v>6.1649999996006954E-2</c:v>
                </c:pt>
                <c:pt idx="61">
                  <c:v>6.7650000004505273E-2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DC-4F71-85B6-51825BABB6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-1.0973235476305583E-2</c:v>
                </c:pt>
                <c:pt idx="1">
                  <c:v>-1.0143796986335919E-2</c:v>
                </c:pt>
                <c:pt idx="2">
                  <c:v>-8.4902199328500752E-3</c:v>
                </c:pt>
                <c:pt idx="3">
                  <c:v>-7.2155876207880658E-3</c:v>
                </c:pt>
                <c:pt idx="4">
                  <c:v>-6.3225500133766398E-3</c:v>
                </c:pt>
                <c:pt idx="5">
                  <c:v>-4.6504232173036116E-3</c:v>
                </c:pt>
                <c:pt idx="6">
                  <c:v>-4.478175607565504E-3</c:v>
                </c:pt>
                <c:pt idx="7">
                  <c:v>-4.4622758282050617E-3</c:v>
                </c:pt>
                <c:pt idx="8">
                  <c:v>-4.316527850734355E-3</c:v>
                </c:pt>
                <c:pt idx="9">
                  <c:v>-3.7176361614910843E-3</c:v>
                </c:pt>
                <c:pt idx="10">
                  <c:v>-3.7096862718108622E-3</c:v>
                </c:pt>
                <c:pt idx="11">
                  <c:v>-3.4738395446309907E-3</c:v>
                </c:pt>
                <c:pt idx="12">
                  <c:v>-6.1717918620512145E-4</c:v>
                </c:pt>
                <c:pt idx="13">
                  <c:v>6.654030155371065E-4</c:v>
                </c:pt>
                <c:pt idx="14">
                  <c:v>7.7935143428693211E-4</c:v>
                </c:pt>
                <c:pt idx="15">
                  <c:v>8.0320110332759292E-4</c:v>
                </c:pt>
                <c:pt idx="16">
                  <c:v>1.0151981614668053E-3</c:v>
                </c:pt>
                <c:pt idx="17">
                  <c:v>1.2788695025274487E-3</c:v>
                </c:pt>
                <c:pt idx="18">
                  <c:v>1.608789924256596E-3</c:v>
                </c:pt>
                <c:pt idx="19">
                  <c:v>1.9479852172793344E-3</c:v>
                </c:pt>
                <c:pt idx="20">
                  <c:v>2.0778334153896006E-3</c:v>
                </c:pt>
                <c:pt idx="21">
                  <c:v>3.4823139255618744E-3</c:v>
                </c:pt>
                <c:pt idx="22">
                  <c:v>3.5962623443117001E-3</c:v>
                </c:pt>
                <c:pt idx="23">
                  <c:v>3.6121621236721406E-3</c:v>
                </c:pt>
                <c:pt idx="24">
                  <c:v>3.8082594024509107E-3</c:v>
                </c:pt>
                <c:pt idx="25">
                  <c:v>8.5768682289697907E-3</c:v>
                </c:pt>
                <c:pt idx="26">
                  <c:v>9.4897805605817682E-3</c:v>
                </c:pt>
                <c:pt idx="27">
                  <c:v>9.5017053951020995E-3</c:v>
                </c:pt>
                <c:pt idx="28">
                  <c:v>9.5056803399422105E-3</c:v>
                </c:pt>
                <c:pt idx="29">
                  <c:v>9.5136302296224308E-3</c:v>
                </c:pt>
                <c:pt idx="30">
                  <c:v>9.9694239046217333E-3</c:v>
                </c:pt>
                <c:pt idx="32">
                  <c:v>1.0812112210725098E-2</c:v>
                </c:pt>
                <c:pt idx="33">
                  <c:v>1.0926060629474925E-2</c:v>
                </c:pt>
                <c:pt idx="34">
                  <c:v>1.101615937918409E-2</c:v>
                </c:pt>
                <c:pt idx="35">
                  <c:v>1.103205915854453E-2</c:v>
                </c:pt>
                <c:pt idx="36">
                  <c:v>1.103603410338464E-2</c:v>
                </c:pt>
                <c:pt idx="37">
                  <c:v>3.5284522609670285E-2</c:v>
                </c:pt>
                <c:pt idx="38">
                  <c:v>3.5284522609670285E-2</c:v>
                </c:pt>
                <c:pt idx="39">
                  <c:v>3.5284522609670285E-2</c:v>
                </c:pt>
                <c:pt idx="40">
                  <c:v>3.8565177084374569E-2</c:v>
                </c:pt>
                <c:pt idx="41">
                  <c:v>3.8565177084374569E-2</c:v>
                </c:pt>
                <c:pt idx="42">
                  <c:v>4.1056142517510302E-2</c:v>
                </c:pt>
                <c:pt idx="43">
                  <c:v>4.1146241267219469E-2</c:v>
                </c:pt>
                <c:pt idx="44">
                  <c:v>4.2688519865182233E-2</c:v>
                </c:pt>
                <c:pt idx="45">
                  <c:v>4.5513380664887221E-2</c:v>
                </c:pt>
                <c:pt idx="46">
                  <c:v>4.9570474365026373E-2</c:v>
                </c:pt>
                <c:pt idx="47">
                  <c:v>5.2191287996272366E-2</c:v>
                </c:pt>
                <c:pt idx="48">
                  <c:v>5.2978327074614188E-2</c:v>
                </c:pt>
                <c:pt idx="49">
                  <c:v>5.4170810526647253E-2</c:v>
                </c:pt>
                <c:pt idx="50">
                  <c:v>5.6879072944375671E-2</c:v>
                </c:pt>
                <c:pt idx="51">
                  <c:v>5.6879072944375671E-2</c:v>
                </c:pt>
                <c:pt idx="52">
                  <c:v>5.7104319818648587E-2</c:v>
                </c:pt>
                <c:pt idx="53">
                  <c:v>5.7255367722572774E-2</c:v>
                </c:pt>
                <c:pt idx="54">
                  <c:v>5.8308728105201976E-2</c:v>
                </c:pt>
                <c:pt idx="55">
                  <c:v>5.9692008909560328E-2</c:v>
                </c:pt>
                <c:pt idx="56">
                  <c:v>6.0090828375184722E-2</c:v>
                </c:pt>
                <c:pt idx="57">
                  <c:v>6.1292586698511377E-2</c:v>
                </c:pt>
                <c:pt idx="58">
                  <c:v>6.4198271376631935E-2</c:v>
                </c:pt>
                <c:pt idx="59">
                  <c:v>6.5492778412894498E-2</c:v>
                </c:pt>
                <c:pt idx="60">
                  <c:v>6.5494103394507869E-2</c:v>
                </c:pt>
                <c:pt idx="61">
                  <c:v>6.7156955319287309E-2</c:v>
                </c:pt>
                <c:pt idx="62">
                  <c:v>6.7170205135421004E-2</c:v>
                </c:pt>
                <c:pt idx="63">
                  <c:v>6.9651895697263141E-2</c:v>
                </c:pt>
                <c:pt idx="64">
                  <c:v>6.9781743895373408E-2</c:v>
                </c:pt>
                <c:pt idx="65">
                  <c:v>6.9875817589922687E-2</c:v>
                </c:pt>
                <c:pt idx="66">
                  <c:v>7.1139850049077732E-2</c:v>
                </c:pt>
                <c:pt idx="67">
                  <c:v>7.169766730830654E-2</c:v>
                </c:pt>
                <c:pt idx="68">
                  <c:v>7.2564205283450561E-2</c:v>
                </c:pt>
                <c:pt idx="69">
                  <c:v>7.2760302562229318E-2</c:v>
                </c:pt>
                <c:pt idx="70">
                  <c:v>7.7116842106990102E-2</c:v>
                </c:pt>
                <c:pt idx="71">
                  <c:v>7.4140933403360948E-2</c:v>
                </c:pt>
                <c:pt idx="72">
                  <c:v>7.4140933403360948E-2</c:v>
                </c:pt>
                <c:pt idx="73">
                  <c:v>7.4140933403360948E-2</c:v>
                </c:pt>
                <c:pt idx="74">
                  <c:v>8.2305470104947293E-2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DC-4F71-85B6-51825BABB6E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Active!$P$21:$P$983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DC-4F71-85B6-51825BAB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38944"/>
        <c:axId val="1"/>
      </c:scatterChart>
      <c:valAx>
        <c:axId val="610538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0994527582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38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58246833069917"/>
          <c:y val="0.92000129214617399"/>
          <c:w val="0.8481020252215307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Cas - O-C Diagr.</a:t>
            </a:r>
          </a:p>
        </c:rich>
      </c:tx>
      <c:layout>
        <c:manualLayout>
          <c:xMode val="edge"/>
          <c:yMode val="edge"/>
          <c:x val="0.35224575157423171"/>
          <c:y val="3.3742176458711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346570397112"/>
          <c:y val="0.14723926380368099"/>
          <c:w val="0.787003610108303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0-4008-8D70-DA56BDA5B5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Active!$D$22:$D$37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-5.3079999997862615E-2</c:v>
                </c:pt>
                <c:pt idx="1">
                  <c:v>-1.9840000000840519E-2</c:v>
                </c:pt>
                <c:pt idx="2">
                  <c:v>-6.1320000000705477E-2</c:v>
                </c:pt>
                <c:pt idx="3">
                  <c:v>-3.0440000002272427E-2</c:v>
                </c:pt>
                <c:pt idx="4">
                  <c:v>-3.1680000000051223E-2</c:v>
                </c:pt>
                <c:pt idx="5">
                  <c:v>-6.8799999993643723E-2</c:v>
                </c:pt>
                <c:pt idx="6">
                  <c:v>-1.6599999995378312E-2</c:v>
                </c:pt>
                <c:pt idx="7">
                  <c:v>-2.8719999994791579E-2</c:v>
                </c:pt>
                <c:pt idx="8">
                  <c:v>-6.7320000001927838E-2</c:v>
                </c:pt>
                <c:pt idx="9">
                  <c:v>-3.6840000000665896E-2</c:v>
                </c:pt>
                <c:pt idx="10">
                  <c:v>-3.6399999997229315E-2</c:v>
                </c:pt>
                <c:pt idx="11">
                  <c:v>-4.2679999998654239E-2</c:v>
                </c:pt>
                <c:pt idx="12">
                  <c:v>-3.12400000038906E-2</c:v>
                </c:pt>
                <c:pt idx="13">
                  <c:v>-4.7919999997247942E-2</c:v>
                </c:pt>
                <c:pt idx="14">
                  <c:v>-3.3280000003287569E-2</c:v>
                </c:pt>
                <c:pt idx="15">
                  <c:v>-9.59999997576233E-4</c:v>
                </c:pt>
                <c:pt idx="16">
                  <c:v>-1.4559999995981343E-2</c:v>
                </c:pt>
                <c:pt idx="17">
                  <c:v>-4.5799999999871943E-2</c:v>
                </c:pt>
                <c:pt idx="18">
                  <c:v>-2.4039999996603001E-2</c:v>
                </c:pt>
                <c:pt idx="19">
                  <c:v>-4.9599999998463318E-2</c:v>
                </c:pt>
                <c:pt idx="20">
                  <c:v>-6.0079999995650724E-2</c:v>
                </c:pt>
                <c:pt idx="21">
                  <c:v>1.7319999999017455E-2</c:v>
                </c:pt>
                <c:pt idx="22">
                  <c:v>-1.9039999999222346E-2</c:v>
                </c:pt>
                <c:pt idx="23">
                  <c:v>7.8400000056717545E-3</c:v>
                </c:pt>
                <c:pt idx="24">
                  <c:v>8.3599999998114072E-3</c:v>
                </c:pt>
                <c:pt idx="25">
                  <c:v>-3.1880000002274755E-2</c:v>
                </c:pt>
                <c:pt idx="26">
                  <c:v>-6.5200000026379712E-3</c:v>
                </c:pt>
                <c:pt idx="27">
                  <c:v>-1.2360000000626314E-2</c:v>
                </c:pt>
                <c:pt idx="28">
                  <c:v>-1.1639999996987171E-2</c:v>
                </c:pt>
                <c:pt idx="29">
                  <c:v>-1.419999999779975E-2</c:v>
                </c:pt>
                <c:pt idx="30">
                  <c:v>1.3600000020232983E-3</c:v>
                </c:pt>
                <c:pt idx="32">
                  <c:v>-6.0000000012223609E-3</c:v>
                </c:pt>
                <c:pt idx="33">
                  <c:v>6.6399999996065162E-3</c:v>
                </c:pt>
                <c:pt idx="34">
                  <c:v>3.7960000001476146E-2</c:v>
                </c:pt>
                <c:pt idx="35">
                  <c:v>2.4840000005497131E-2</c:v>
                </c:pt>
                <c:pt idx="36">
                  <c:v>3.4560000000055879E-2</c:v>
                </c:pt>
                <c:pt idx="40">
                  <c:v>3.8339999999152496E-2</c:v>
                </c:pt>
                <c:pt idx="41">
                  <c:v>3.8540000001376029E-2</c:v>
                </c:pt>
                <c:pt idx="42">
                  <c:v>4.2240000002493616E-2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E0-4008-8D70-DA56BDA5B5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7">
                  <c:v>3.3800000004703179E-2</c:v>
                </c:pt>
                <c:pt idx="38">
                  <c:v>3.3800000004703179E-2</c:v>
                </c:pt>
                <c:pt idx="39">
                  <c:v>3.4400000004097819E-2</c:v>
                </c:pt>
                <c:pt idx="43">
                  <c:v>4.6260000002803281E-2</c:v>
                </c:pt>
                <c:pt idx="44">
                  <c:v>4.8319999994419049E-2</c:v>
                </c:pt>
                <c:pt idx="45">
                  <c:v>4.8200000004726462E-2</c:v>
                </c:pt>
                <c:pt idx="46">
                  <c:v>5.1180000002204906E-2</c:v>
                </c:pt>
                <c:pt idx="52">
                  <c:v>5.5619999999180436E-2</c:v>
                </c:pt>
                <c:pt idx="63">
                  <c:v>6.7119999999704305E-2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E0-4008-8D70-DA56BDA5B5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7">
                  <c:v>5.1300000006449409E-2</c:v>
                </c:pt>
                <c:pt idx="48">
                  <c:v>5.3360000005341135E-2</c:v>
                </c:pt>
                <c:pt idx="49">
                  <c:v>5.2869999999529682E-2</c:v>
                </c:pt>
                <c:pt idx="50">
                  <c:v>5.401999999594409E-2</c:v>
                </c:pt>
                <c:pt idx="51">
                  <c:v>5.401999999594409E-2</c:v>
                </c:pt>
                <c:pt idx="53">
                  <c:v>5.408000000170432E-2</c:v>
                </c:pt>
                <c:pt idx="54">
                  <c:v>5.7529999998223502E-2</c:v>
                </c:pt>
                <c:pt idx="55">
                  <c:v>5.9840000001713634E-2</c:v>
                </c:pt>
                <c:pt idx="56">
                  <c:v>5.5070000002160668E-2</c:v>
                </c:pt>
                <c:pt idx="57">
                  <c:v>6.4259999999194406E-2</c:v>
                </c:pt>
                <c:pt idx="58">
                  <c:v>6.1020000001008157E-2</c:v>
                </c:pt>
                <c:pt idx="59">
                  <c:v>6.3270000006014016E-2</c:v>
                </c:pt>
                <c:pt idx="60">
                  <c:v>6.1649999996006954E-2</c:v>
                </c:pt>
                <c:pt idx="61">
                  <c:v>6.7650000004505273E-2</c:v>
                </c:pt>
                <c:pt idx="62">
                  <c:v>6.4600000005157199E-2</c:v>
                </c:pt>
                <c:pt idx="64">
                  <c:v>7.076000000233762E-2</c:v>
                </c:pt>
                <c:pt idx="65">
                  <c:v>6.9139999999606516E-2</c:v>
                </c:pt>
                <c:pt idx="66">
                  <c:v>7.0240000000922009E-2</c:v>
                </c:pt>
                <c:pt idx="67">
                  <c:v>7.2079999998095445E-2</c:v>
                </c:pt>
                <c:pt idx="68">
                  <c:v>6.618000000162283E-2</c:v>
                </c:pt>
                <c:pt idx="69">
                  <c:v>7.4860000000626314E-2</c:v>
                </c:pt>
                <c:pt idx="70">
                  <c:v>7.9579999997804407E-2</c:v>
                </c:pt>
                <c:pt idx="71">
                  <c:v>8.0739999917568639E-2</c:v>
                </c:pt>
                <c:pt idx="72">
                  <c:v>8.1880000216187909E-2</c:v>
                </c:pt>
                <c:pt idx="73">
                  <c:v>8.3390000072540715E-2</c:v>
                </c:pt>
                <c:pt idx="74">
                  <c:v>7.7419999994162936E-2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E0-4008-8D70-DA56BDA5B5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E0-4008-8D70-DA56BDA5B5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E0-4008-8D70-DA56BDA5B5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59">
                  <c:v>6.3270000006014016E-2</c:v>
                </c:pt>
                <c:pt idx="60">
                  <c:v>6.1649999996006954E-2</c:v>
                </c:pt>
                <c:pt idx="61">
                  <c:v>6.7650000004505273E-2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E0-4008-8D70-DA56BDA5B5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-1.0973235476305583E-2</c:v>
                </c:pt>
                <c:pt idx="1">
                  <c:v>-1.0143796986335919E-2</c:v>
                </c:pt>
                <c:pt idx="2">
                  <c:v>-8.4902199328500752E-3</c:v>
                </c:pt>
                <c:pt idx="3">
                  <c:v>-7.2155876207880658E-3</c:v>
                </c:pt>
                <c:pt idx="4">
                  <c:v>-6.3225500133766398E-3</c:v>
                </c:pt>
                <c:pt idx="5">
                  <c:v>-4.6504232173036116E-3</c:v>
                </c:pt>
                <c:pt idx="6">
                  <c:v>-4.478175607565504E-3</c:v>
                </c:pt>
                <c:pt idx="7">
                  <c:v>-4.4622758282050617E-3</c:v>
                </c:pt>
                <c:pt idx="8">
                  <c:v>-4.316527850734355E-3</c:v>
                </c:pt>
                <c:pt idx="9">
                  <c:v>-3.7176361614910843E-3</c:v>
                </c:pt>
                <c:pt idx="10">
                  <c:v>-3.7096862718108622E-3</c:v>
                </c:pt>
                <c:pt idx="11">
                  <c:v>-3.4738395446309907E-3</c:v>
                </c:pt>
                <c:pt idx="12">
                  <c:v>-6.1717918620512145E-4</c:v>
                </c:pt>
                <c:pt idx="13">
                  <c:v>6.654030155371065E-4</c:v>
                </c:pt>
                <c:pt idx="14">
                  <c:v>7.7935143428693211E-4</c:v>
                </c:pt>
                <c:pt idx="15">
                  <c:v>8.0320110332759292E-4</c:v>
                </c:pt>
                <c:pt idx="16">
                  <c:v>1.0151981614668053E-3</c:v>
                </c:pt>
                <c:pt idx="17">
                  <c:v>1.2788695025274487E-3</c:v>
                </c:pt>
                <c:pt idx="18">
                  <c:v>1.608789924256596E-3</c:v>
                </c:pt>
                <c:pt idx="19">
                  <c:v>1.9479852172793344E-3</c:v>
                </c:pt>
                <c:pt idx="20">
                  <c:v>2.0778334153896006E-3</c:v>
                </c:pt>
                <c:pt idx="21">
                  <c:v>3.4823139255618744E-3</c:v>
                </c:pt>
                <c:pt idx="22">
                  <c:v>3.5962623443117001E-3</c:v>
                </c:pt>
                <c:pt idx="23">
                  <c:v>3.6121621236721406E-3</c:v>
                </c:pt>
                <c:pt idx="24">
                  <c:v>3.8082594024509107E-3</c:v>
                </c:pt>
                <c:pt idx="25">
                  <c:v>8.5768682289697907E-3</c:v>
                </c:pt>
                <c:pt idx="26">
                  <c:v>9.4897805605817682E-3</c:v>
                </c:pt>
                <c:pt idx="27">
                  <c:v>9.5017053951020995E-3</c:v>
                </c:pt>
                <c:pt idx="28">
                  <c:v>9.5056803399422105E-3</c:v>
                </c:pt>
                <c:pt idx="29">
                  <c:v>9.5136302296224308E-3</c:v>
                </c:pt>
                <c:pt idx="30">
                  <c:v>9.9694239046217333E-3</c:v>
                </c:pt>
                <c:pt idx="32">
                  <c:v>1.0812112210725098E-2</c:v>
                </c:pt>
                <c:pt idx="33">
                  <c:v>1.0926060629474925E-2</c:v>
                </c:pt>
                <c:pt idx="34">
                  <c:v>1.101615937918409E-2</c:v>
                </c:pt>
                <c:pt idx="35">
                  <c:v>1.103205915854453E-2</c:v>
                </c:pt>
                <c:pt idx="36">
                  <c:v>1.103603410338464E-2</c:v>
                </c:pt>
                <c:pt idx="37">
                  <c:v>3.5284522609670285E-2</c:v>
                </c:pt>
                <c:pt idx="38">
                  <c:v>3.5284522609670285E-2</c:v>
                </c:pt>
                <c:pt idx="39">
                  <c:v>3.5284522609670285E-2</c:v>
                </c:pt>
                <c:pt idx="40">
                  <c:v>3.8565177084374569E-2</c:v>
                </c:pt>
                <c:pt idx="41">
                  <c:v>3.8565177084374569E-2</c:v>
                </c:pt>
                <c:pt idx="42">
                  <c:v>4.1056142517510302E-2</c:v>
                </c:pt>
                <c:pt idx="43">
                  <c:v>4.1146241267219469E-2</c:v>
                </c:pt>
                <c:pt idx="44">
                  <c:v>4.2688519865182233E-2</c:v>
                </c:pt>
                <c:pt idx="45">
                  <c:v>4.5513380664887221E-2</c:v>
                </c:pt>
                <c:pt idx="46">
                  <c:v>4.9570474365026373E-2</c:v>
                </c:pt>
                <c:pt idx="47">
                  <c:v>5.2191287996272366E-2</c:v>
                </c:pt>
                <c:pt idx="48">
                  <c:v>5.2978327074614188E-2</c:v>
                </c:pt>
                <c:pt idx="49">
                  <c:v>5.4170810526647253E-2</c:v>
                </c:pt>
                <c:pt idx="50">
                  <c:v>5.6879072944375671E-2</c:v>
                </c:pt>
                <c:pt idx="51">
                  <c:v>5.6879072944375671E-2</c:v>
                </c:pt>
                <c:pt idx="52">
                  <c:v>5.7104319818648587E-2</c:v>
                </c:pt>
                <c:pt idx="53">
                  <c:v>5.7255367722572774E-2</c:v>
                </c:pt>
                <c:pt idx="54">
                  <c:v>5.8308728105201976E-2</c:v>
                </c:pt>
                <c:pt idx="55">
                  <c:v>5.9692008909560328E-2</c:v>
                </c:pt>
                <c:pt idx="56">
                  <c:v>6.0090828375184722E-2</c:v>
                </c:pt>
                <c:pt idx="57">
                  <c:v>6.1292586698511377E-2</c:v>
                </c:pt>
                <c:pt idx="58">
                  <c:v>6.4198271376631935E-2</c:v>
                </c:pt>
                <c:pt idx="59">
                  <c:v>6.5492778412894498E-2</c:v>
                </c:pt>
                <c:pt idx="60">
                  <c:v>6.5494103394507869E-2</c:v>
                </c:pt>
                <c:pt idx="61">
                  <c:v>6.7156955319287309E-2</c:v>
                </c:pt>
                <c:pt idx="62">
                  <c:v>6.7170205135421004E-2</c:v>
                </c:pt>
                <c:pt idx="63">
                  <c:v>6.9651895697263141E-2</c:v>
                </c:pt>
                <c:pt idx="64">
                  <c:v>6.9781743895373408E-2</c:v>
                </c:pt>
                <c:pt idx="65">
                  <c:v>6.9875817589922687E-2</c:v>
                </c:pt>
                <c:pt idx="66">
                  <c:v>7.1139850049077732E-2</c:v>
                </c:pt>
                <c:pt idx="67">
                  <c:v>7.169766730830654E-2</c:v>
                </c:pt>
                <c:pt idx="68">
                  <c:v>7.2564205283450561E-2</c:v>
                </c:pt>
                <c:pt idx="69">
                  <c:v>7.2760302562229318E-2</c:v>
                </c:pt>
                <c:pt idx="70">
                  <c:v>7.7116842106990102E-2</c:v>
                </c:pt>
                <c:pt idx="71">
                  <c:v>7.4140933403360948E-2</c:v>
                </c:pt>
                <c:pt idx="72">
                  <c:v>7.4140933403360948E-2</c:v>
                </c:pt>
                <c:pt idx="73">
                  <c:v>7.4140933403360948E-2</c:v>
                </c:pt>
                <c:pt idx="74">
                  <c:v>8.2305470104947293E-2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E0-4008-8D70-DA56BDA5B5C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  <c:pt idx="74">
                  <c:v>26994</c:v>
                </c:pt>
              </c:numCache>
            </c:numRef>
          </c:xVal>
          <c:yVal>
            <c:numRef>
              <c:f>Active!$P$21:$P$983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E0-4008-8D70-DA56BDA5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43984"/>
        <c:axId val="1"/>
      </c:scatterChart>
      <c:valAx>
        <c:axId val="6105439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657039711191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5162454873646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4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3537906137184"/>
          <c:y val="0.92024539877300615"/>
          <c:w val="0.84657039711191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9526</xdr:rowOff>
    </xdr:from>
    <xdr:to>
      <xdr:col>17</xdr:col>
      <xdr:colOff>381000</xdr:colOff>
      <xdr:row>18</xdr:row>
      <xdr:rowOff>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5D81A95-2863-1660-7B66-586A38CA2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66675</xdr:rowOff>
    </xdr:from>
    <xdr:to>
      <xdr:col>27</xdr:col>
      <xdr:colOff>95250</xdr:colOff>
      <xdr:row>17</xdr:row>
      <xdr:rowOff>142875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EB236E0-D3E2-6DC9-9D89-FC45380A3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17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konkoly.hu/cgi-bin/IBVS?5493" TargetMode="External"/><Relationship Id="rId17" Type="http://schemas.openxmlformats.org/officeDocument/2006/relationships/hyperlink" Target="http://www.konkoly.hu/cgi-bin/IBVS?5820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3615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867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konkoly.hu/cgi-bin/IBVS?5502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69" TargetMode="External"/><Relationship Id="rId15" Type="http://schemas.openxmlformats.org/officeDocument/2006/relationships/hyperlink" Target="http://www.konkoly.hu/cgi-bin/IBVS?5672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594" TargetMode="External"/><Relationship Id="rId19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2.42578125" customWidth="1"/>
  </cols>
  <sheetData>
    <row r="1" spans="1:19" ht="20.25" x14ac:dyDescent="0.3">
      <c r="A1" s="65" t="s">
        <v>301</v>
      </c>
    </row>
    <row r="2" spans="1:19" x14ac:dyDescent="0.2">
      <c r="A2" t="s">
        <v>25</v>
      </c>
      <c r="B2" s="10" t="s">
        <v>37</v>
      </c>
      <c r="O2">
        <v>2005</v>
      </c>
      <c r="P2">
        <v>9</v>
      </c>
      <c r="Q2">
        <v>28</v>
      </c>
      <c r="R2">
        <f>DATE(O2,P2,Q2)+15018.5+O3/24+P3/1440+Q3/86400</f>
        <v>53642.053344907406</v>
      </c>
      <c r="S2">
        <f ca="1">+(R2-C18)/D18</f>
        <v>-9591.9655276855538</v>
      </c>
    </row>
    <row r="3" spans="1:19" x14ac:dyDescent="0.2">
      <c r="O3">
        <v>13</v>
      </c>
      <c r="P3">
        <v>16</v>
      </c>
      <c r="Q3">
        <v>49</v>
      </c>
    </row>
    <row r="4" spans="1:19" ht="14.25" thickTop="1" thickBot="1" x14ac:dyDescent="0.25">
      <c r="A4" s="6" t="s">
        <v>1</v>
      </c>
      <c r="C4" s="2">
        <v>41921.378199999999</v>
      </c>
      <c r="D4" s="3">
        <v>0.67352000000000001</v>
      </c>
    </row>
    <row r="5" spans="1:19" ht="13.5" thickTop="1" x14ac:dyDescent="0.2">
      <c r="A5" s="13" t="s">
        <v>43</v>
      </c>
      <c r="B5" s="11"/>
      <c r="C5" s="14">
        <v>-9.5</v>
      </c>
      <c r="D5" s="11" t="s">
        <v>44</v>
      </c>
    </row>
    <row r="6" spans="1:19" x14ac:dyDescent="0.2">
      <c r="A6" s="6" t="s">
        <v>2</v>
      </c>
    </row>
    <row r="7" spans="1:19" x14ac:dyDescent="0.2">
      <c r="A7" t="s">
        <v>3</v>
      </c>
      <c r="C7">
        <f>+C4</f>
        <v>41921.378199999999</v>
      </c>
    </row>
    <row r="8" spans="1:19" x14ac:dyDescent="0.2">
      <c r="A8" t="s">
        <v>4</v>
      </c>
      <c r="C8">
        <f>+D4</f>
        <v>0.67352000000000001</v>
      </c>
    </row>
    <row r="9" spans="1:19" x14ac:dyDescent="0.2">
      <c r="A9" s="25" t="s">
        <v>47</v>
      </c>
      <c r="B9" s="26">
        <v>58</v>
      </c>
      <c r="C9" s="16" t="str">
        <f>"F"&amp;B9</f>
        <v>F58</v>
      </c>
      <c r="D9" s="17" t="str">
        <f>"G"&amp;B9</f>
        <v>G58</v>
      </c>
    </row>
    <row r="10" spans="1:19" ht="13.5" thickBot="1" x14ac:dyDescent="0.25">
      <c r="A10" s="11"/>
      <c r="B10" s="11"/>
      <c r="C10" s="5" t="s">
        <v>21</v>
      </c>
      <c r="D10" s="5" t="s">
        <v>22</v>
      </c>
      <c r="E10" s="11"/>
    </row>
    <row r="11" spans="1:19" x14ac:dyDescent="0.2">
      <c r="A11" s="11" t="s">
        <v>17</v>
      </c>
      <c r="B11" s="11"/>
      <c r="C11" s="15">
        <f ca="1">INTERCEPT(INDIRECT($D$9):G987,INDIRECT($C$9):F987)</f>
        <v>1.0772362762323996E-2</v>
      </c>
      <c r="D11" s="4"/>
      <c r="E11" s="11"/>
    </row>
    <row r="12" spans="1:19" x14ac:dyDescent="0.2">
      <c r="A12" s="11" t="s">
        <v>18</v>
      </c>
      <c r="B12" s="11"/>
      <c r="C12" s="15">
        <f ca="1">SLOPE(INDIRECT($D$9):G987,INDIRECT($C$9):F987)</f>
        <v>2.6499632267401389E-6</v>
      </c>
      <c r="D12" s="4"/>
      <c r="E12" s="73" t="s">
        <v>303</v>
      </c>
      <c r="F12" s="74" t="s">
        <v>306</v>
      </c>
    </row>
    <row r="13" spans="1:19" x14ac:dyDescent="0.2">
      <c r="A13" s="11" t="s">
        <v>20</v>
      </c>
      <c r="B13" s="11"/>
      <c r="C13" s="4" t="s">
        <v>15</v>
      </c>
      <c r="E13" s="71" t="s">
        <v>53</v>
      </c>
      <c r="F13" s="70">
        <v>1</v>
      </c>
    </row>
    <row r="14" spans="1:19" x14ac:dyDescent="0.2">
      <c r="A14" s="11"/>
      <c r="B14" s="11"/>
      <c r="C14" s="11"/>
      <c r="E14" s="71" t="s">
        <v>45</v>
      </c>
      <c r="F14" s="75">
        <f ca="1">NOW()+15018.5+$C$5/24</f>
        <v>60678.825982638889</v>
      </c>
    </row>
    <row r="15" spans="1:19" x14ac:dyDescent="0.2">
      <c r="A15" s="18" t="s">
        <v>19</v>
      </c>
      <c r="B15" s="11"/>
      <c r="C15" s="19">
        <f ca="1">(C7+C11)+(C8+C12)*INT(MAX(F21:F3528))</f>
        <v>60102.459385470102</v>
      </c>
      <c r="E15" s="71" t="s">
        <v>54</v>
      </c>
      <c r="F15" s="75">
        <f ca="1">ROUND(2*($F$14-$C$7)/$C$8,0)/2+$F$13</f>
        <v>27851</v>
      </c>
    </row>
    <row r="16" spans="1:19" x14ac:dyDescent="0.2">
      <c r="A16" s="21" t="s">
        <v>5</v>
      </c>
      <c r="B16" s="11"/>
      <c r="C16" s="22">
        <f ca="1">+C8+C12</f>
        <v>0.67352264996322675</v>
      </c>
      <c r="E16" s="71" t="s">
        <v>46</v>
      </c>
      <c r="F16" s="75">
        <f ca="1">ROUND(2*($F$14-$C$15)/$C$16,0)/2+$F$13</f>
        <v>856.5</v>
      </c>
    </row>
    <row r="17" spans="1:17" ht="13.5" thickBot="1" x14ac:dyDescent="0.25">
      <c r="A17" s="20" t="s">
        <v>41</v>
      </c>
      <c r="B17" s="11"/>
      <c r="C17" s="11">
        <f>COUNT(C21:C2186)</f>
        <v>75</v>
      </c>
      <c r="E17" s="71" t="s">
        <v>304</v>
      </c>
      <c r="F17" s="76">
        <f ca="1">+$C$15+$C$16*$F$16-15018.5-$C$5/24</f>
        <v>45661.22736849694</v>
      </c>
    </row>
    <row r="18" spans="1:17" ht="14.25" thickTop="1" thickBot="1" x14ac:dyDescent="0.25">
      <c r="A18" s="21" t="s">
        <v>6</v>
      </c>
      <c r="B18" s="11"/>
      <c r="C18" s="24">
        <f ca="1">+C15</f>
        <v>60102.459385470102</v>
      </c>
      <c r="D18" s="69">
        <f ca="1">+C16</f>
        <v>0.67352264996322675</v>
      </c>
      <c r="E18" s="72" t="s">
        <v>305</v>
      </c>
      <c r="F18" s="77">
        <f ca="1">+($C$15+$C$16*$F$16)-($C$16/2)-15018.5-$C$5/24</f>
        <v>45660.890607171961</v>
      </c>
    </row>
    <row r="19" spans="1:17" ht="13.5" thickTop="1" x14ac:dyDescent="0.2">
      <c r="E19" s="20"/>
      <c r="F19" s="23"/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66</v>
      </c>
      <c r="I20" s="8" t="s">
        <v>69</v>
      </c>
      <c r="J20" s="8" t="s">
        <v>56</v>
      </c>
      <c r="K20" s="8" t="s">
        <v>62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s="54" t="s">
        <v>76</v>
      </c>
      <c r="B21" s="55" t="s">
        <v>30</v>
      </c>
      <c r="C21" s="54">
        <v>36394.42</v>
      </c>
      <c r="D21" s="54" t="s">
        <v>69</v>
      </c>
      <c r="E21" s="30">
        <f t="shared" ref="E21:E52" si="0">+(C21-C$7)/C$8</f>
        <v>-8206.0788098348985</v>
      </c>
      <c r="F21">
        <f t="shared" ref="F21:F52" si="1">ROUND(2*E21,0)/2</f>
        <v>-8206</v>
      </c>
      <c r="G21">
        <f t="shared" ref="G21:G51" si="2">+C21-(C$7+F21*C$8)</f>
        <v>-5.3079999997862615E-2</v>
      </c>
      <c r="I21">
        <f t="shared" ref="I21:I51" si="3">G21</f>
        <v>-5.3079999997862615E-2</v>
      </c>
      <c r="O21">
        <f t="shared" ref="O21:O51" ca="1" si="4">+C$11+C$12*F21</f>
        <v>-1.0973235476305583E-2</v>
      </c>
      <c r="Q21" s="1">
        <f t="shared" ref="Q21:Q52" si="5">+C21-15018.5</f>
        <v>21375.919999999998</v>
      </c>
    </row>
    <row r="22" spans="1:17" x14ac:dyDescent="0.2">
      <c r="A22" s="54" t="s">
        <v>76</v>
      </c>
      <c r="B22" s="55" t="s">
        <v>30</v>
      </c>
      <c r="C22" s="54">
        <v>36605.264999999999</v>
      </c>
      <c r="D22" s="54" t="s">
        <v>69</v>
      </c>
      <c r="E22" s="30">
        <f t="shared" si="0"/>
        <v>-7893.0294571801869</v>
      </c>
      <c r="F22">
        <f t="shared" si="1"/>
        <v>-7893</v>
      </c>
      <c r="G22">
        <f t="shared" si="2"/>
        <v>-1.9840000000840519E-2</v>
      </c>
      <c r="I22">
        <f t="shared" si="3"/>
        <v>-1.9840000000840519E-2</v>
      </c>
      <c r="O22">
        <f t="shared" ca="1" si="4"/>
        <v>-1.0143796986335919E-2</v>
      </c>
      <c r="Q22" s="1">
        <f t="shared" si="5"/>
        <v>21586.764999999999</v>
      </c>
    </row>
    <row r="23" spans="1:17" x14ac:dyDescent="0.2">
      <c r="A23" s="54" t="s">
        <v>76</v>
      </c>
      <c r="B23" s="55" t="s">
        <v>30</v>
      </c>
      <c r="C23" s="54">
        <v>37025.5</v>
      </c>
      <c r="D23" s="54" t="s">
        <v>69</v>
      </c>
      <c r="E23" s="30">
        <f t="shared" si="0"/>
        <v>-7269.0910440669904</v>
      </c>
      <c r="F23">
        <f t="shared" si="1"/>
        <v>-7269</v>
      </c>
      <c r="G23">
        <f t="shared" si="2"/>
        <v>-6.1320000000705477E-2</v>
      </c>
      <c r="I23">
        <f t="shared" si="3"/>
        <v>-6.1320000000705477E-2</v>
      </c>
      <c r="O23">
        <f t="shared" ca="1" si="4"/>
        <v>-8.4902199328500752E-3</v>
      </c>
      <c r="Q23" s="1">
        <f t="shared" si="5"/>
        <v>22007</v>
      </c>
    </row>
    <row r="24" spans="1:17" x14ac:dyDescent="0.2">
      <c r="A24" s="54" t="s">
        <v>76</v>
      </c>
      <c r="B24" s="55" t="s">
        <v>30</v>
      </c>
      <c r="C24" s="54">
        <v>37349.493999999999</v>
      </c>
      <c r="D24" s="54" t="s">
        <v>69</v>
      </c>
      <c r="E24" s="30">
        <f t="shared" si="0"/>
        <v>-6788.0451953913771</v>
      </c>
      <c r="F24">
        <f t="shared" si="1"/>
        <v>-6788</v>
      </c>
      <c r="G24">
        <f t="shared" si="2"/>
        <v>-3.0440000002272427E-2</v>
      </c>
      <c r="I24">
        <f t="shared" si="3"/>
        <v>-3.0440000002272427E-2</v>
      </c>
      <c r="O24">
        <f t="shared" ca="1" si="4"/>
        <v>-7.2155876207880658E-3</v>
      </c>
      <c r="Q24" s="1">
        <f t="shared" si="5"/>
        <v>22330.993999999999</v>
      </c>
    </row>
    <row r="25" spans="1:17" x14ac:dyDescent="0.2">
      <c r="A25" s="54" t="s">
        <v>76</v>
      </c>
      <c r="B25" s="55" t="s">
        <v>30</v>
      </c>
      <c r="C25" s="54">
        <v>37576.468999999997</v>
      </c>
      <c r="D25" s="54" t="s">
        <v>69</v>
      </c>
      <c r="E25" s="30">
        <f t="shared" si="0"/>
        <v>-6451.047036465141</v>
      </c>
      <c r="F25">
        <f t="shared" si="1"/>
        <v>-6451</v>
      </c>
      <c r="G25">
        <f t="shared" si="2"/>
        <v>-3.1680000000051223E-2</v>
      </c>
      <c r="I25">
        <f t="shared" si="3"/>
        <v>-3.1680000000051223E-2</v>
      </c>
      <c r="O25">
        <f t="shared" ca="1" si="4"/>
        <v>-6.3225500133766398E-3</v>
      </c>
      <c r="Q25" s="1">
        <f t="shared" si="5"/>
        <v>22557.968999999997</v>
      </c>
    </row>
    <row r="26" spans="1:17" x14ac:dyDescent="0.2">
      <c r="A26" s="54" t="s">
        <v>76</v>
      </c>
      <c r="B26" s="55" t="s">
        <v>30</v>
      </c>
      <c r="C26" s="54">
        <v>38001.423000000003</v>
      </c>
      <c r="D26" s="54" t="s">
        <v>69</v>
      </c>
      <c r="E26" s="30">
        <f t="shared" si="0"/>
        <v>-5820.1021498990331</v>
      </c>
      <c r="F26">
        <f t="shared" si="1"/>
        <v>-5820</v>
      </c>
      <c r="G26">
        <f t="shared" si="2"/>
        <v>-6.8799999993643723E-2</v>
      </c>
      <c r="I26">
        <f t="shared" si="3"/>
        <v>-6.8799999993643723E-2</v>
      </c>
      <c r="O26">
        <f t="shared" ca="1" si="4"/>
        <v>-4.6504232173036116E-3</v>
      </c>
      <c r="Q26" s="1">
        <f t="shared" si="5"/>
        <v>22982.923000000003</v>
      </c>
    </row>
    <row r="27" spans="1:17" x14ac:dyDescent="0.2">
      <c r="A27" s="54" t="s">
        <v>76</v>
      </c>
      <c r="B27" s="55" t="s">
        <v>30</v>
      </c>
      <c r="C27" s="54">
        <v>38045.254000000001</v>
      </c>
      <c r="D27" s="54" t="s">
        <v>69</v>
      </c>
      <c r="E27" s="30">
        <f t="shared" si="0"/>
        <v>-5755.0246466326143</v>
      </c>
      <c r="F27">
        <f t="shared" si="1"/>
        <v>-5755</v>
      </c>
      <c r="G27">
        <f t="shared" si="2"/>
        <v>-1.6599999995378312E-2</v>
      </c>
      <c r="I27">
        <f t="shared" si="3"/>
        <v>-1.6599999995378312E-2</v>
      </c>
      <c r="O27">
        <f t="shared" ca="1" si="4"/>
        <v>-4.478175607565504E-3</v>
      </c>
      <c r="Q27" s="1">
        <f t="shared" si="5"/>
        <v>23026.754000000001</v>
      </c>
    </row>
    <row r="28" spans="1:17" x14ac:dyDescent="0.2">
      <c r="A28" s="54" t="s">
        <v>76</v>
      </c>
      <c r="B28" s="55" t="s">
        <v>30</v>
      </c>
      <c r="C28" s="54">
        <v>38049.283000000003</v>
      </c>
      <c r="D28" s="54" t="s">
        <v>69</v>
      </c>
      <c r="E28" s="30">
        <f t="shared" si="0"/>
        <v>-5749.042641643895</v>
      </c>
      <c r="F28">
        <f t="shared" si="1"/>
        <v>-5749</v>
      </c>
      <c r="G28">
        <f t="shared" si="2"/>
        <v>-2.8719999994791579E-2</v>
      </c>
      <c r="I28">
        <f t="shared" si="3"/>
        <v>-2.8719999994791579E-2</v>
      </c>
      <c r="O28">
        <f t="shared" ca="1" si="4"/>
        <v>-4.4622758282050617E-3</v>
      </c>
      <c r="Q28" s="1">
        <f t="shared" si="5"/>
        <v>23030.783000000003</v>
      </c>
    </row>
    <row r="29" spans="1:17" x14ac:dyDescent="0.2">
      <c r="A29" s="54" t="s">
        <v>76</v>
      </c>
      <c r="B29" s="55" t="s">
        <v>30</v>
      </c>
      <c r="C29" s="54">
        <v>38086.288</v>
      </c>
      <c r="D29" s="54" t="s">
        <v>69</v>
      </c>
      <c r="E29" s="30">
        <f t="shared" si="0"/>
        <v>-5694.0999524884173</v>
      </c>
      <c r="F29">
        <f t="shared" si="1"/>
        <v>-5694</v>
      </c>
      <c r="G29">
        <f t="shared" si="2"/>
        <v>-6.7320000001927838E-2</v>
      </c>
      <c r="I29">
        <f t="shared" si="3"/>
        <v>-6.7320000001927838E-2</v>
      </c>
      <c r="O29">
        <f t="shared" ca="1" si="4"/>
        <v>-4.316527850734355E-3</v>
      </c>
      <c r="Q29" s="1">
        <f t="shared" si="5"/>
        <v>23067.788</v>
      </c>
    </row>
    <row r="30" spans="1:17" x14ac:dyDescent="0.2">
      <c r="A30" s="54" t="s">
        <v>76</v>
      </c>
      <c r="B30" s="55" t="s">
        <v>30</v>
      </c>
      <c r="C30" s="54">
        <v>38238.534</v>
      </c>
      <c r="D30" s="54" t="s">
        <v>69</v>
      </c>
      <c r="E30" s="30">
        <f t="shared" si="0"/>
        <v>-5468.0546977075655</v>
      </c>
      <c r="F30">
        <f t="shared" si="1"/>
        <v>-5468</v>
      </c>
      <c r="G30">
        <f t="shared" si="2"/>
        <v>-3.6840000000665896E-2</v>
      </c>
      <c r="I30">
        <f t="shared" si="3"/>
        <v>-3.6840000000665896E-2</v>
      </c>
      <c r="O30">
        <f t="shared" ca="1" si="4"/>
        <v>-3.7176361614910843E-3</v>
      </c>
      <c r="Q30" s="1">
        <f t="shared" si="5"/>
        <v>23220.034</v>
      </c>
    </row>
    <row r="31" spans="1:17" x14ac:dyDescent="0.2">
      <c r="A31" s="54" t="s">
        <v>76</v>
      </c>
      <c r="B31" s="55" t="s">
        <v>30</v>
      </c>
      <c r="C31" s="54">
        <v>38240.555</v>
      </c>
      <c r="D31" s="54" t="s">
        <v>69</v>
      </c>
      <c r="E31" s="30">
        <f t="shared" si="0"/>
        <v>-5465.0540444233266</v>
      </c>
      <c r="F31">
        <f t="shared" si="1"/>
        <v>-5465</v>
      </c>
      <c r="G31">
        <f t="shared" si="2"/>
        <v>-3.6399999997229315E-2</v>
      </c>
      <c r="I31">
        <f t="shared" si="3"/>
        <v>-3.6399999997229315E-2</v>
      </c>
      <c r="O31">
        <f t="shared" ca="1" si="4"/>
        <v>-3.7096862718108622E-3</v>
      </c>
      <c r="Q31" s="1">
        <f t="shared" si="5"/>
        <v>23222.055</v>
      </c>
    </row>
    <row r="32" spans="1:17" x14ac:dyDescent="0.2">
      <c r="A32" s="54" t="s">
        <v>76</v>
      </c>
      <c r="B32" s="55" t="s">
        <v>30</v>
      </c>
      <c r="C32" s="54">
        <v>38300.491999999998</v>
      </c>
      <c r="D32" s="54" t="s">
        <v>69</v>
      </c>
      <c r="E32" s="30">
        <f t="shared" si="0"/>
        <v>-5376.06336857109</v>
      </c>
      <c r="F32">
        <f t="shared" si="1"/>
        <v>-5376</v>
      </c>
      <c r="G32">
        <f t="shared" si="2"/>
        <v>-4.2679999998654239E-2</v>
      </c>
      <c r="I32">
        <f t="shared" si="3"/>
        <v>-4.2679999998654239E-2</v>
      </c>
      <c r="O32">
        <f t="shared" ca="1" si="4"/>
        <v>-3.4738395446309907E-3</v>
      </c>
      <c r="Q32" s="1">
        <f t="shared" si="5"/>
        <v>23281.991999999998</v>
      </c>
    </row>
    <row r="33" spans="1:17" x14ac:dyDescent="0.2">
      <c r="A33" s="54" t="s">
        <v>76</v>
      </c>
      <c r="B33" s="55" t="s">
        <v>30</v>
      </c>
      <c r="C33" s="54">
        <v>39026.557999999997</v>
      </c>
      <c r="D33" s="54" t="s">
        <v>69</v>
      </c>
      <c r="E33" s="30">
        <f t="shared" si="0"/>
        <v>-4298.0463831809029</v>
      </c>
      <c r="F33">
        <f t="shared" si="1"/>
        <v>-4298</v>
      </c>
      <c r="G33">
        <f t="shared" si="2"/>
        <v>-3.12400000038906E-2</v>
      </c>
      <c r="I33">
        <f t="shared" si="3"/>
        <v>-3.12400000038906E-2</v>
      </c>
      <c r="O33">
        <f t="shared" ca="1" si="4"/>
        <v>-6.1717918620512145E-4</v>
      </c>
      <c r="Q33" s="1">
        <f t="shared" si="5"/>
        <v>24008.057999999997</v>
      </c>
    </row>
    <row r="34" spans="1:17" x14ac:dyDescent="0.2">
      <c r="A34" s="54" t="s">
        <v>76</v>
      </c>
      <c r="B34" s="55" t="s">
        <v>30</v>
      </c>
      <c r="C34" s="54">
        <v>39352.525000000001</v>
      </c>
      <c r="D34" s="54" t="s">
        <v>69</v>
      </c>
      <c r="E34" s="30">
        <f t="shared" si="0"/>
        <v>-3814.0711485924662</v>
      </c>
      <c r="F34">
        <f t="shared" si="1"/>
        <v>-3814</v>
      </c>
      <c r="G34">
        <f t="shared" si="2"/>
        <v>-4.7919999997247942E-2</v>
      </c>
      <c r="I34">
        <f t="shared" si="3"/>
        <v>-4.7919999997247942E-2</v>
      </c>
      <c r="O34">
        <f t="shared" ca="1" si="4"/>
        <v>6.654030155371065E-4</v>
      </c>
      <c r="Q34" s="1">
        <f t="shared" si="5"/>
        <v>24334.025000000001</v>
      </c>
    </row>
    <row r="35" spans="1:17" x14ac:dyDescent="0.2">
      <c r="A35" s="54" t="s">
        <v>76</v>
      </c>
      <c r="B35" s="55" t="s">
        <v>30</v>
      </c>
      <c r="C35" s="54">
        <v>39381.500999999997</v>
      </c>
      <c r="D35" s="54" t="s">
        <v>69</v>
      </c>
      <c r="E35" s="30">
        <f t="shared" si="0"/>
        <v>-3771.0494120441895</v>
      </c>
      <c r="F35">
        <f t="shared" si="1"/>
        <v>-3771</v>
      </c>
      <c r="G35">
        <f t="shared" si="2"/>
        <v>-3.3280000003287569E-2</v>
      </c>
      <c r="I35">
        <f t="shared" si="3"/>
        <v>-3.3280000003287569E-2</v>
      </c>
      <c r="O35">
        <f t="shared" ca="1" si="4"/>
        <v>7.7935143428693211E-4</v>
      </c>
      <c r="Q35" s="1">
        <f t="shared" si="5"/>
        <v>24363.000999999997</v>
      </c>
    </row>
    <row r="36" spans="1:17" x14ac:dyDescent="0.2">
      <c r="A36" s="54" t="s">
        <v>76</v>
      </c>
      <c r="B36" s="55" t="s">
        <v>30</v>
      </c>
      <c r="C36" s="54">
        <v>39387.595000000001</v>
      </c>
      <c r="D36" s="54" t="s">
        <v>69</v>
      </c>
      <c r="E36" s="30">
        <f t="shared" si="0"/>
        <v>-3762.0014253474255</v>
      </c>
      <c r="F36">
        <f t="shared" si="1"/>
        <v>-3762</v>
      </c>
      <c r="G36">
        <f t="shared" si="2"/>
        <v>-9.59999997576233E-4</v>
      </c>
      <c r="I36">
        <f t="shared" si="3"/>
        <v>-9.59999997576233E-4</v>
      </c>
      <c r="O36">
        <f t="shared" ca="1" si="4"/>
        <v>8.0320110332759292E-4</v>
      </c>
      <c r="Q36" s="1">
        <f t="shared" si="5"/>
        <v>24369.095000000001</v>
      </c>
    </row>
    <row r="37" spans="1:17" x14ac:dyDescent="0.2">
      <c r="A37" s="54" t="s">
        <v>76</v>
      </c>
      <c r="B37" s="55" t="s">
        <v>30</v>
      </c>
      <c r="C37" s="54">
        <v>39441.463000000003</v>
      </c>
      <c r="D37" s="54" t="s">
        <v>69</v>
      </c>
      <c r="E37" s="30">
        <f t="shared" si="0"/>
        <v>-3682.0216177693251</v>
      </c>
      <c r="F37">
        <f t="shared" si="1"/>
        <v>-3682</v>
      </c>
      <c r="G37">
        <f t="shared" si="2"/>
        <v>-1.4559999995981343E-2</v>
      </c>
      <c r="I37">
        <f t="shared" si="3"/>
        <v>-1.4559999995981343E-2</v>
      </c>
      <c r="O37">
        <f t="shared" ca="1" si="4"/>
        <v>1.0151981614668053E-3</v>
      </c>
      <c r="Q37" s="1">
        <f t="shared" si="5"/>
        <v>24422.963000000003</v>
      </c>
    </row>
    <row r="38" spans="1:17" x14ac:dyDescent="0.2">
      <c r="A38" s="54" t="s">
        <v>76</v>
      </c>
      <c r="B38" s="55" t="s">
        <v>50</v>
      </c>
      <c r="C38" s="54">
        <v>39508.447</v>
      </c>
      <c r="D38" s="54" t="s">
        <v>69</v>
      </c>
      <c r="E38" s="30">
        <f t="shared" si="0"/>
        <v>-3582.5680009502303</v>
      </c>
      <c r="F38">
        <f t="shared" si="1"/>
        <v>-3582.5</v>
      </c>
      <c r="G38">
        <f t="shared" si="2"/>
        <v>-4.5799999999871943E-2</v>
      </c>
      <c r="I38">
        <f t="shared" si="3"/>
        <v>-4.5799999999871943E-2</v>
      </c>
      <c r="O38">
        <f t="shared" ca="1" si="4"/>
        <v>1.2788695025274487E-3</v>
      </c>
      <c r="Q38" s="1">
        <f t="shared" si="5"/>
        <v>24489.947</v>
      </c>
    </row>
    <row r="39" spans="1:17" x14ac:dyDescent="0.2">
      <c r="A39" s="54" t="s">
        <v>76</v>
      </c>
      <c r="B39" s="55" t="s">
        <v>30</v>
      </c>
      <c r="C39" s="54">
        <v>39592.322</v>
      </c>
      <c r="D39" s="54" t="s">
        <v>69</v>
      </c>
      <c r="E39" s="30">
        <f t="shared" si="0"/>
        <v>-3458.0356930751855</v>
      </c>
      <c r="F39">
        <f t="shared" si="1"/>
        <v>-3458</v>
      </c>
      <c r="G39">
        <f t="shared" si="2"/>
        <v>-2.4039999996603001E-2</v>
      </c>
      <c r="I39">
        <f t="shared" si="3"/>
        <v>-2.4039999996603001E-2</v>
      </c>
      <c r="O39">
        <f t="shared" ca="1" si="4"/>
        <v>1.608789924256596E-3</v>
      </c>
      <c r="Q39" s="1">
        <f t="shared" si="5"/>
        <v>24573.822</v>
      </c>
    </row>
    <row r="40" spans="1:17" x14ac:dyDescent="0.2">
      <c r="A40" s="54" t="s">
        <v>76</v>
      </c>
      <c r="B40" s="55" t="s">
        <v>30</v>
      </c>
      <c r="C40" s="54">
        <v>39678.506999999998</v>
      </c>
      <c r="D40" s="54" t="s">
        <v>69</v>
      </c>
      <c r="E40" s="30">
        <f t="shared" si="0"/>
        <v>-3330.0736429504714</v>
      </c>
      <c r="F40">
        <f t="shared" si="1"/>
        <v>-3330</v>
      </c>
      <c r="G40">
        <f t="shared" si="2"/>
        <v>-4.9599999998463318E-2</v>
      </c>
      <c r="I40">
        <f t="shared" si="3"/>
        <v>-4.9599999998463318E-2</v>
      </c>
      <c r="O40">
        <f t="shared" ca="1" si="4"/>
        <v>1.9479852172793344E-3</v>
      </c>
      <c r="Q40" s="1">
        <f t="shared" si="5"/>
        <v>24660.006999999998</v>
      </c>
    </row>
    <row r="41" spans="1:17" x14ac:dyDescent="0.2">
      <c r="A41" s="54" t="s">
        <v>76</v>
      </c>
      <c r="B41" s="55" t="s">
        <v>30</v>
      </c>
      <c r="C41" s="54">
        <v>39711.499000000003</v>
      </c>
      <c r="D41" s="54" t="s">
        <v>69</v>
      </c>
      <c r="E41" s="30">
        <f t="shared" si="0"/>
        <v>-3281.0892029932234</v>
      </c>
      <c r="F41">
        <f t="shared" si="1"/>
        <v>-3281</v>
      </c>
      <c r="G41">
        <f t="shared" si="2"/>
        <v>-6.0079999995650724E-2</v>
      </c>
      <c r="I41">
        <f t="shared" si="3"/>
        <v>-6.0079999995650724E-2</v>
      </c>
      <c r="O41">
        <f t="shared" ca="1" si="4"/>
        <v>2.0778334153896006E-3</v>
      </c>
      <c r="Q41" s="1">
        <f t="shared" si="5"/>
        <v>24692.999000000003</v>
      </c>
    </row>
    <row r="42" spans="1:17" x14ac:dyDescent="0.2">
      <c r="A42" s="54" t="s">
        <v>76</v>
      </c>
      <c r="B42" s="55" t="s">
        <v>30</v>
      </c>
      <c r="C42" s="54">
        <v>40068.542000000001</v>
      </c>
      <c r="D42" s="54" t="s">
        <v>69</v>
      </c>
      <c r="E42" s="30">
        <f t="shared" si="0"/>
        <v>-2750.9742843568088</v>
      </c>
      <c r="F42">
        <f t="shared" si="1"/>
        <v>-2751</v>
      </c>
      <c r="G42">
        <f t="shared" si="2"/>
        <v>1.7319999999017455E-2</v>
      </c>
      <c r="I42">
        <f t="shared" si="3"/>
        <v>1.7319999999017455E-2</v>
      </c>
      <c r="O42">
        <f t="shared" ca="1" si="4"/>
        <v>3.4823139255618744E-3</v>
      </c>
      <c r="Q42" s="1">
        <f t="shared" si="5"/>
        <v>25050.042000000001</v>
      </c>
    </row>
    <row r="43" spans="1:17" x14ac:dyDescent="0.2">
      <c r="A43" s="54" t="s">
        <v>76</v>
      </c>
      <c r="B43" s="55" t="s">
        <v>30</v>
      </c>
      <c r="C43" s="54">
        <v>40097.466999999997</v>
      </c>
      <c r="D43" s="54" t="s">
        <v>69</v>
      </c>
      <c r="E43" s="30">
        <f t="shared" si="0"/>
        <v>-2708.0282693906674</v>
      </c>
      <c r="F43">
        <f t="shared" si="1"/>
        <v>-2708</v>
      </c>
      <c r="G43">
        <f t="shared" si="2"/>
        <v>-1.9039999999222346E-2</v>
      </c>
      <c r="I43">
        <f t="shared" si="3"/>
        <v>-1.9039999999222346E-2</v>
      </c>
      <c r="O43">
        <f t="shared" ca="1" si="4"/>
        <v>3.5962623443117001E-3</v>
      </c>
      <c r="Q43" s="1">
        <f t="shared" si="5"/>
        <v>25078.966999999997</v>
      </c>
    </row>
    <row r="44" spans="1:17" x14ac:dyDescent="0.2">
      <c r="A44" s="54" t="s">
        <v>76</v>
      </c>
      <c r="B44" s="55" t="s">
        <v>30</v>
      </c>
      <c r="C44" s="54">
        <v>40101.535000000003</v>
      </c>
      <c r="D44" s="54" t="s">
        <v>69</v>
      </c>
      <c r="E44" s="30">
        <f t="shared" si="0"/>
        <v>-2701.9883596626614</v>
      </c>
      <c r="F44">
        <f t="shared" si="1"/>
        <v>-2702</v>
      </c>
      <c r="G44">
        <f t="shared" si="2"/>
        <v>7.8400000056717545E-3</v>
      </c>
      <c r="I44">
        <f t="shared" si="3"/>
        <v>7.8400000056717545E-3</v>
      </c>
      <c r="O44">
        <f t="shared" ca="1" si="4"/>
        <v>3.6121621236721406E-3</v>
      </c>
      <c r="Q44" s="1">
        <f t="shared" si="5"/>
        <v>25083.035000000003</v>
      </c>
    </row>
    <row r="45" spans="1:17" x14ac:dyDescent="0.2">
      <c r="A45" s="54" t="s">
        <v>76</v>
      </c>
      <c r="B45" s="55" t="s">
        <v>30</v>
      </c>
      <c r="C45" s="54">
        <v>40151.375999999997</v>
      </c>
      <c r="D45" s="54" t="s">
        <v>69</v>
      </c>
      <c r="E45" s="30">
        <f t="shared" si="0"/>
        <v>-2627.9875875994812</v>
      </c>
      <c r="F45">
        <f t="shared" si="1"/>
        <v>-2628</v>
      </c>
      <c r="G45">
        <f t="shared" si="2"/>
        <v>8.3599999998114072E-3</v>
      </c>
      <c r="I45">
        <f t="shared" si="3"/>
        <v>8.3599999998114072E-3</v>
      </c>
      <c r="O45">
        <f t="shared" ca="1" si="4"/>
        <v>3.8082594024509107E-3</v>
      </c>
      <c r="Q45" s="1">
        <f t="shared" si="5"/>
        <v>25132.875999999997</v>
      </c>
    </row>
    <row r="46" spans="1:17" x14ac:dyDescent="0.2">
      <c r="A46" s="54" t="s">
        <v>76</v>
      </c>
      <c r="B46" s="55" t="s">
        <v>50</v>
      </c>
      <c r="C46" s="54">
        <v>41363.334999999999</v>
      </c>
      <c r="D46" s="54" t="s">
        <v>69</v>
      </c>
      <c r="E46" s="30">
        <f t="shared" si="0"/>
        <v>-828.54733341251938</v>
      </c>
      <c r="F46">
        <f t="shared" si="1"/>
        <v>-828.5</v>
      </c>
      <c r="G46">
        <f t="shared" si="2"/>
        <v>-3.1880000002274755E-2</v>
      </c>
      <c r="I46">
        <f t="shared" si="3"/>
        <v>-3.1880000002274755E-2</v>
      </c>
      <c r="O46">
        <f t="shared" ca="1" si="4"/>
        <v>8.5768682289697907E-3</v>
      </c>
      <c r="Q46" s="1">
        <f t="shared" si="5"/>
        <v>26344.834999999999</v>
      </c>
    </row>
    <row r="47" spans="1:17" x14ac:dyDescent="0.2">
      <c r="A47" s="54" t="s">
        <v>76</v>
      </c>
      <c r="B47" s="55" t="s">
        <v>30</v>
      </c>
      <c r="C47" s="54">
        <v>41595.387999999999</v>
      </c>
      <c r="D47" s="54" t="s">
        <v>69</v>
      </c>
      <c r="E47" s="30">
        <f t="shared" si="0"/>
        <v>-484.0096804846184</v>
      </c>
      <c r="F47">
        <f t="shared" si="1"/>
        <v>-484</v>
      </c>
      <c r="G47">
        <f t="shared" si="2"/>
        <v>-6.5200000026379712E-3</v>
      </c>
      <c r="I47">
        <f t="shared" si="3"/>
        <v>-6.5200000026379712E-3</v>
      </c>
      <c r="O47">
        <f t="shared" ca="1" si="4"/>
        <v>9.4897805605817682E-3</v>
      </c>
      <c r="Q47" s="1">
        <f t="shared" si="5"/>
        <v>26576.887999999999</v>
      </c>
    </row>
    <row r="48" spans="1:17" x14ac:dyDescent="0.2">
      <c r="A48" s="54" t="s">
        <v>76</v>
      </c>
      <c r="B48" s="55" t="s">
        <v>50</v>
      </c>
      <c r="C48" s="54">
        <v>41598.413</v>
      </c>
      <c r="D48" s="54" t="s">
        <v>69</v>
      </c>
      <c r="E48" s="30">
        <f t="shared" si="0"/>
        <v>-479.51835134813922</v>
      </c>
      <c r="F48">
        <f t="shared" si="1"/>
        <v>-479.5</v>
      </c>
      <c r="G48">
        <f t="shared" si="2"/>
        <v>-1.2360000000626314E-2</v>
      </c>
      <c r="I48">
        <f t="shared" si="3"/>
        <v>-1.2360000000626314E-2</v>
      </c>
      <c r="O48">
        <f t="shared" ca="1" si="4"/>
        <v>9.5017053951020995E-3</v>
      </c>
      <c r="Q48" s="1">
        <f t="shared" si="5"/>
        <v>26579.913</v>
      </c>
    </row>
    <row r="49" spans="1:17" x14ac:dyDescent="0.2">
      <c r="A49" s="54" t="s">
        <v>76</v>
      </c>
      <c r="B49" s="55" t="s">
        <v>30</v>
      </c>
      <c r="C49" s="54">
        <v>41599.423999999999</v>
      </c>
      <c r="D49" s="54" t="s">
        <v>69</v>
      </c>
      <c r="E49" s="30">
        <f t="shared" si="0"/>
        <v>-478.01728233756995</v>
      </c>
      <c r="F49">
        <f t="shared" si="1"/>
        <v>-478</v>
      </c>
      <c r="G49">
        <f t="shared" si="2"/>
        <v>-1.1639999996987171E-2</v>
      </c>
      <c r="I49">
        <f t="shared" si="3"/>
        <v>-1.1639999996987171E-2</v>
      </c>
      <c r="O49">
        <f t="shared" ca="1" si="4"/>
        <v>9.5056803399422105E-3</v>
      </c>
      <c r="Q49" s="1">
        <f t="shared" si="5"/>
        <v>26580.923999999999</v>
      </c>
    </row>
    <row r="50" spans="1:17" x14ac:dyDescent="0.2">
      <c r="A50" s="54" t="s">
        <v>76</v>
      </c>
      <c r="B50" s="55" t="s">
        <v>30</v>
      </c>
      <c r="C50" s="54">
        <v>41601.442000000003</v>
      </c>
      <c r="D50" s="54" t="s">
        <v>69</v>
      </c>
      <c r="E50" s="30">
        <f t="shared" si="0"/>
        <v>-475.02108326404033</v>
      </c>
      <c r="F50">
        <f t="shared" si="1"/>
        <v>-475</v>
      </c>
      <c r="G50">
        <f t="shared" si="2"/>
        <v>-1.419999999779975E-2</v>
      </c>
      <c r="I50">
        <f t="shared" si="3"/>
        <v>-1.419999999779975E-2</v>
      </c>
      <c r="O50">
        <f t="shared" ca="1" si="4"/>
        <v>9.5136302296224308E-3</v>
      </c>
      <c r="Q50" s="1">
        <f t="shared" si="5"/>
        <v>26582.942000000003</v>
      </c>
    </row>
    <row r="51" spans="1:17" x14ac:dyDescent="0.2">
      <c r="A51" s="54" t="s">
        <v>76</v>
      </c>
      <c r="B51" s="55" t="s">
        <v>30</v>
      </c>
      <c r="C51" s="54">
        <v>41717.303</v>
      </c>
      <c r="D51" s="54" t="s">
        <v>69</v>
      </c>
      <c r="E51" s="30">
        <f t="shared" si="0"/>
        <v>-302.9979807578087</v>
      </c>
      <c r="F51">
        <f t="shared" si="1"/>
        <v>-303</v>
      </c>
      <c r="G51">
        <f t="shared" si="2"/>
        <v>1.3600000020232983E-3</v>
      </c>
      <c r="I51">
        <f t="shared" si="3"/>
        <v>1.3600000020232983E-3</v>
      </c>
      <c r="O51">
        <f t="shared" ca="1" si="4"/>
        <v>9.9694239046217333E-3</v>
      </c>
      <c r="Q51" s="1">
        <f t="shared" si="5"/>
        <v>26698.803</v>
      </c>
    </row>
    <row r="52" spans="1:17" x14ac:dyDescent="0.2">
      <c r="A52" t="s">
        <v>13</v>
      </c>
      <c r="B52" s="4"/>
      <c r="C52" s="12">
        <v>41921.378199999999</v>
      </c>
      <c r="D52" s="12" t="s">
        <v>15</v>
      </c>
      <c r="E52">
        <f t="shared" si="0"/>
        <v>0</v>
      </c>
      <c r="F52">
        <f t="shared" si="1"/>
        <v>0</v>
      </c>
      <c r="G52">
        <v>0</v>
      </c>
      <c r="H52">
        <v>0</v>
      </c>
      <c r="Q52" s="1">
        <f t="shared" si="5"/>
        <v>26902.878199999999</v>
      </c>
    </row>
    <row r="53" spans="1:17" x14ac:dyDescent="0.2">
      <c r="A53" s="54" t="s">
        <v>76</v>
      </c>
      <c r="B53" s="55" t="s">
        <v>30</v>
      </c>
      <c r="C53" s="54">
        <v>41931.474999999999</v>
      </c>
      <c r="D53" s="54" t="s">
        <v>69</v>
      </c>
      <c r="E53" s="30">
        <f t="shared" ref="E53:E70" si="6">+(C53-C$7)/C$8</f>
        <v>14.991091578571309</v>
      </c>
      <c r="F53">
        <f t="shared" ref="F53:F94" si="7">ROUND(2*E53,0)/2</f>
        <v>15</v>
      </c>
      <c r="G53">
        <f t="shared" ref="G53:G70" si="8">+C53-(C$7+F53*C$8)</f>
        <v>-6.0000000012223609E-3</v>
      </c>
      <c r="I53">
        <f>G53</f>
        <v>-6.0000000012223609E-3</v>
      </c>
      <c r="O53">
        <f t="shared" ref="O53:O70" ca="1" si="9">+C$11+C$12*F53</f>
        <v>1.0812112210725098E-2</v>
      </c>
      <c r="Q53" s="1">
        <f t="shared" ref="Q53:Q70" si="10">+C53-15018.5</f>
        <v>26912.974999999999</v>
      </c>
    </row>
    <row r="54" spans="1:17" x14ac:dyDescent="0.2">
      <c r="A54" s="54" t="s">
        <v>76</v>
      </c>
      <c r="B54" s="55" t="s">
        <v>30</v>
      </c>
      <c r="C54" s="54">
        <v>41960.449000000001</v>
      </c>
      <c r="D54" s="54" t="s">
        <v>69</v>
      </c>
      <c r="E54" s="30">
        <f t="shared" si="6"/>
        <v>58.009858653048653</v>
      </c>
      <c r="F54">
        <f t="shared" si="7"/>
        <v>58</v>
      </c>
      <c r="G54">
        <f t="shared" si="8"/>
        <v>6.6399999996065162E-3</v>
      </c>
      <c r="I54">
        <f>G54</f>
        <v>6.6399999996065162E-3</v>
      </c>
      <c r="O54">
        <f t="shared" ca="1" si="9"/>
        <v>1.0926060629474925E-2</v>
      </c>
      <c r="Q54" s="1">
        <f t="shared" si="10"/>
        <v>26941.949000000001</v>
      </c>
    </row>
    <row r="55" spans="1:17" x14ac:dyDescent="0.2">
      <c r="A55" s="54" t="s">
        <v>76</v>
      </c>
      <c r="B55" s="55" t="s">
        <v>30</v>
      </c>
      <c r="C55" s="54">
        <v>41983.38</v>
      </c>
      <c r="D55" s="54" t="s">
        <v>69</v>
      </c>
      <c r="E55" s="30">
        <f t="shared" si="6"/>
        <v>92.056360612896697</v>
      </c>
      <c r="F55">
        <f t="shared" si="7"/>
        <v>92</v>
      </c>
      <c r="G55">
        <f t="shared" si="8"/>
        <v>3.7960000001476146E-2</v>
      </c>
      <c r="I55">
        <f>G55</f>
        <v>3.7960000001476146E-2</v>
      </c>
      <c r="O55">
        <f t="shared" ca="1" si="9"/>
        <v>1.101615937918409E-2</v>
      </c>
      <c r="Q55" s="1">
        <f t="shared" si="10"/>
        <v>26964.879999999997</v>
      </c>
    </row>
    <row r="56" spans="1:17" x14ac:dyDescent="0.2">
      <c r="A56" s="54" t="s">
        <v>76</v>
      </c>
      <c r="B56" s="55" t="s">
        <v>30</v>
      </c>
      <c r="C56" s="54">
        <v>41987.408000000003</v>
      </c>
      <c r="D56" s="54" t="s">
        <v>69</v>
      </c>
      <c r="E56" s="30">
        <f t="shared" si="6"/>
        <v>98.036880864716551</v>
      </c>
      <c r="F56">
        <f t="shared" si="7"/>
        <v>98</v>
      </c>
      <c r="G56">
        <f t="shared" si="8"/>
        <v>2.4840000005497131E-2</v>
      </c>
      <c r="I56">
        <f>G56</f>
        <v>2.4840000005497131E-2</v>
      </c>
      <c r="O56">
        <f t="shared" ca="1" si="9"/>
        <v>1.103205915854453E-2</v>
      </c>
      <c r="Q56" s="1">
        <f t="shared" si="10"/>
        <v>26968.908000000003</v>
      </c>
    </row>
    <row r="57" spans="1:17" x14ac:dyDescent="0.2">
      <c r="A57" s="54" t="s">
        <v>76</v>
      </c>
      <c r="B57" s="55" t="s">
        <v>50</v>
      </c>
      <c r="C57" s="54">
        <v>41988.428</v>
      </c>
      <c r="D57" s="54" t="s">
        <v>69</v>
      </c>
      <c r="E57" s="30">
        <f t="shared" si="6"/>
        <v>99.551312507424697</v>
      </c>
      <c r="F57">
        <f t="shared" si="7"/>
        <v>99.5</v>
      </c>
      <c r="G57">
        <f t="shared" si="8"/>
        <v>3.4560000000055879E-2</v>
      </c>
      <c r="I57">
        <f>G57</f>
        <v>3.4560000000055879E-2</v>
      </c>
      <c r="O57">
        <f t="shared" ca="1" si="9"/>
        <v>1.103603410338464E-2</v>
      </c>
      <c r="Q57" s="1">
        <f t="shared" si="10"/>
        <v>26969.928</v>
      </c>
    </row>
    <row r="58" spans="1:17" x14ac:dyDescent="0.2">
      <c r="A58" s="28" t="s">
        <v>33</v>
      </c>
      <c r="B58" s="29" t="s">
        <v>30</v>
      </c>
      <c r="C58" s="28">
        <v>48151.472000000002</v>
      </c>
      <c r="D58" s="28" t="s">
        <v>56</v>
      </c>
      <c r="E58" s="30">
        <f t="shared" si="6"/>
        <v>9250.0501841073801</v>
      </c>
      <c r="F58">
        <f t="shared" si="7"/>
        <v>9250</v>
      </c>
      <c r="G58">
        <f t="shared" si="8"/>
        <v>3.3800000004703179E-2</v>
      </c>
      <c r="J58">
        <f>G58</f>
        <v>3.3800000004703179E-2</v>
      </c>
      <c r="O58">
        <f t="shared" ca="1" si="9"/>
        <v>3.5284522609670285E-2</v>
      </c>
      <c r="Q58" s="1">
        <f t="shared" si="10"/>
        <v>33132.972000000002</v>
      </c>
    </row>
    <row r="59" spans="1:17" x14ac:dyDescent="0.2">
      <c r="A59" s="28" t="s">
        <v>33</v>
      </c>
      <c r="B59" s="29" t="s">
        <v>30</v>
      </c>
      <c r="C59" s="28">
        <v>48151.472000000002</v>
      </c>
      <c r="D59" s="28" t="s">
        <v>56</v>
      </c>
      <c r="E59" s="30">
        <f t="shared" si="6"/>
        <v>9250.0501841073801</v>
      </c>
      <c r="F59">
        <f t="shared" si="7"/>
        <v>9250</v>
      </c>
      <c r="G59">
        <f t="shared" si="8"/>
        <v>3.3800000004703179E-2</v>
      </c>
      <c r="J59">
        <f>G59</f>
        <v>3.3800000004703179E-2</v>
      </c>
      <c r="O59">
        <f t="shared" ca="1" si="9"/>
        <v>3.5284522609670285E-2</v>
      </c>
      <c r="Q59" s="1">
        <f t="shared" si="10"/>
        <v>33132.972000000002</v>
      </c>
    </row>
    <row r="60" spans="1:17" x14ac:dyDescent="0.2">
      <c r="A60" s="28" t="s">
        <v>33</v>
      </c>
      <c r="B60" s="29" t="s">
        <v>30</v>
      </c>
      <c r="C60" s="28">
        <v>48151.472600000001</v>
      </c>
      <c r="D60" s="28" t="s">
        <v>56</v>
      </c>
      <c r="E60" s="30">
        <f t="shared" si="6"/>
        <v>9250.0510749495206</v>
      </c>
      <c r="F60">
        <f t="shared" si="7"/>
        <v>9250</v>
      </c>
      <c r="G60">
        <f t="shared" si="8"/>
        <v>3.4400000004097819E-2</v>
      </c>
      <c r="J60">
        <f>G60</f>
        <v>3.4400000004097819E-2</v>
      </c>
      <c r="O60">
        <f t="shared" ca="1" si="9"/>
        <v>3.5284522609670285E-2</v>
      </c>
      <c r="Q60" s="1">
        <f t="shared" si="10"/>
        <v>33132.972600000001</v>
      </c>
    </row>
    <row r="61" spans="1:17" x14ac:dyDescent="0.2">
      <c r="A61" s="54" t="s">
        <v>196</v>
      </c>
      <c r="B61" s="55" t="s">
        <v>30</v>
      </c>
      <c r="C61" s="54">
        <v>48985.294300000001</v>
      </c>
      <c r="D61" s="54" t="s">
        <v>69</v>
      </c>
      <c r="E61" s="30">
        <f t="shared" si="6"/>
        <v>10488.056924812927</v>
      </c>
      <c r="F61">
        <f t="shared" si="7"/>
        <v>10488</v>
      </c>
      <c r="G61">
        <f t="shared" si="8"/>
        <v>3.8339999999152496E-2</v>
      </c>
      <c r="I61">
        <f>G61</f>
        <v>3.8339999999152496E-2</v>
      </c>
      <c r="O61">
        <f t="shared" ca="1" si="9"/>
        <v>3.8565177084374569E-2</v>
      </c>
      <c r="Q61" s="1">
        <f t="shared" si="10"/>
        <v>33966.794300000001</v>
      </c>
    </row>
    <row r="62" spans="1:17" x14ac:dyDescent="0.2">
      <c r="A62" s="54" t="s">
        <v>196</v>
      </c>
      <c r="B62" s="55" t="s">
        <v>30</v>
      </c>
      <c r="C62" s="54">
        <v>48985.294500000004</v>
      </c>
      <c r="D62" s="54" t="s">
        <v>69</v>
      </c>
      <c r="E62" s="30">
        <f t="shared" si="6"/>
        <v>10488.057221760311</v>
      </c>
      <c r="F62">
        <f t="shared" si="7"/>
        <v>10488</v>
      </c>
      <c r="G62">
        <f t="shared" si="8"/>
        <v>3.8540000001376029E-2</v>
      </c>
      <c r="I62">
        <f>G62</f>
        <v>3.8540000001376029E-2</v>
      </c>
      <c r="O62">
        <f t="shared" ca="1" si="9"/>
        <v>3.8565177084374569E-2</v>
      </c>
      <c r="Q62" s="1">
        <f t="shared" si="10"/>
        <v>33966.794500000004</v>
      </c>
    </row>
    <row r="63" spans="1:17" x14ac:dyDescent="0.2">
      <c r="A63" s="54" t="s">
        <v>206</v>
      </c>
      <c r="B63" s="55" t="s">
        <v>30</v>
      </c>
      <c r="C63" s="54">
        <v>49618.406999999999</v>
      </c>
      <c r="D63" s="54" t="s">
        <v>69</v>
      </c>
      <c r="E63" s="30">
        <f t="shared" si="6"/>
        <v>11428.062715286851</v>
      </c>
      <c r="F63">
        <f t="shared" si="7"/>
        <v>11428</v>
      </c>
      <c r="G63">
        <f t="shared" si="8"/>
        <v>4.2240000002493616E-2</v>
      </c>
      <c r="I63">
        <f>G63</f>
        <v>4.2240000002493616E-2</v>
      </c>
      <c r="O63">
        <f t="shared" ca="1" si="9"/>
        <v>4.1056142517510302E-2</v>
      </c>
      <c r="Q63" s="1">
        <f t="shared" si="10"/>
        <v>34599.906999999999</v>
      </c>
    </row>
    <row r="64" spans="1:17" x14ac:dyDescent="0.2">
      <c r="A64" s="30" t="s">
        <v>32</v>
      </c>
      <c r="B64" s="27"/>
      <c r="C64" s="9">
        <v>49641.310700000002</v>
      </c>
      <c r="D64" s="9"/>
      <c r="E64" s="30">
        <f t="shared" si="6"/>
        <v>11462.068683929212</v>
      </c>
      <c r="F64">
        <f t="shared" si="7"/>
        <v>11462</v>
      </c>
      <c r="G64">
        <f t="shared" si="8"/>
        <v>4.6260000002803281E-2</v>
      </c>
      <c r="J64">
        <f>G64</f>
        <v>4.6260000002803281E-2</v>
      </c>
      <c r="O64">
        <f t="shared" ca="1" si="9"/>
        <v>4.1146241267219469E-2</v>
      </c>
      <c r="Q64" s="1">
        <f t="shared" si="10"/>
        <v>34622.810700000002</v>
      </c>
    </row>
    <row r="65" spans="1:17" x14ac:dyDescent="0.2">
      <c r="A65" s="30" t="s">
        <v>31</v>
      </c>
      <c r="B65" s="27" t="s">
        <v>30</v>
      </c>
      <c r="C65" s="9">
        <v>50033.301399999997</v>
      </c>
      <c r="D65" s="9"/>
      <c r="E65" s="30">
        <f t="shared" si="6"/>
        <v>12044.071742487227</v>
      </c>
      <c r="F65">
        <f t="shared" si="7"/>
        <v>12044</v>
      </c>
      <c r="G65">
        <f t="shared" si="8"/>
        <v>4.8319999994419049E-2</v>
      </c>
      <c r="J65">
        <f>G65</f>
        <v>4.8319999994419049E-2</v>
      </c>
      <c r="O65">
        <f t="shared" ca="1" si="9"/>
        <v>4.2688519865182233E-2</v>
      </c>
      <c r="Q65" s="1">
        <f t="shared" si="10"/>
        <v>35014.801399999997</v>
      </c>
    </row>
    <row r="66" spans="1:17" x14ac:dyDescent="0.2">
      <c r="A66" s="30" t="s">
        <v>29</v>
      </c>
      <c r="B66" s="27" t="s">
        <v>30</v>
      </c>
      <c r="C66" s="9">
        <v>50751.2736</v>
      </c>
      <c r="D66" s="9">
        <v>3.7999999999999999E-2</v>
      </c>
      <c r="E66" s="30">
        <f t="shared" si="6"/>
        <v>13110.071564318805</v>
      </c>
      <c r="F66">
        <f t="shared" si="7"/>
        <v>13110</v>
      </c>
      <c r="G66">
        <f t="shared" si="8"/>
        <v>4.8200000004726462E-2</v>
      </c>
      <c r="J66">
        <f>G66</f>
        <v>4.8200000004726462E-2</v>
      </c>
      <c r="O66">
        <f t="shared" ca="1" si="9"/>
        <v>4.5513380664887221E-2</v>
      </c>
      <c r="Q66" s="1">
        <f t="shared" si="10"/>
        <v>35732.7736</v>
      </c>
    </row>
    <row r="67" spans="1:17" x14ac:dyDescent="0.2">
      <c r="A67" s="9" t="s">
        <v>36</v>
      </c>
      <c r="B67" s="31"/>
      <c r="C67" s="9">
        <v>51782.435700000002</v>
      </c>
      <c r="D67" s="9">
        <v>2.5000000000000001E-3</v>
      </c>
      <c r="E67" s="30">
        <f t="shared" si="6"/>
        <v>14641.075988834782</v>
      </c>
      <c r="F67">
        <f t="shared" si="7"/>
        <v>14641</v>
      </c>
      <c r="G67">
        <f t="shared" si="8"/>
        <v>5.1180000002204906E-2</v>
      </c>
      <c r="J67">
        <f>G67</f>
        <v>5.1180000002204906E-2</v>
      </c>
      <c r="O67">
        <f t="shared" ca="1" si="9"/>
        <v>4.9570474365026373E-2</v>
      </c>
      <c r="Q67" s="1">
        <f t="shared" si="10"/>
        <v>36763.935700000002</v>
      </c>
    </row>
    <row r="68" spans="1:17" x14ac:dyDescent="0.2">
      <c r="A68" s="28" t="s">
        <v>38</v>
      </c>
      <c r="B68" s="32" t="s">
        <v>30</v>
      </c>
      <c r="C68" s="33">
        <v>52448.547100000003</v>
      </c>
      <c r="D68" s="33">
        <v>2.9999999999999997E-4</v>
      </c>
      <c r="E68" s="30">
        <f t="shared" si="6"/>
        <v>15630.076167003213</v>
      </c>
      <c r="F68">
        <f t="shared" si="7"/>
        <v>15630</v>
      </c>
      <c r="G68">
        <f t="shared" si="8"/>
        <v>5.1300000006449409E-2</v>
      </c>
      <c r="K68">
        <f>G68</f>
        <v>5.1300000006449409E-2</v>
      </c>
      <c r="O68">
        <f t="shared" ca="1" si="9"/>
        <v>5.2191287996272366E-2</v>
      </c>
      <c r="Q68" s="1">
        <f t="shared" si="10"/>
        <v>37430.047100000003</v>
      </c>
    </row>
    <row r="69" spans="1:17" x14ac:dyDescent="0.2">
      <c r="A69" s="30" t="s">
        <v>35</v>
      </c>
      <c r="B69" s="27" t="s">
        <v>30</v>
      </c>
      <c r="C69" s="9">
        <v>52648.584600000002</v>
      </c>
      <c r="D69" s="9">
        <v>2.9999999999999997E-4</v>
      </c>
      <c r="E69" s="30">
        <f t="shared" si="6"/>
        <v>15927.079225561234</v>
      </c>
      <c r="F69">
        <f t="shared" si="7"/>
        <v>15927</v>
      </c>
      <c r="G69">
        <f t="shared" si="8"/>
        <v>5.3360000005341135E-2</v>
      </c>
      <c r="K69">
        <f>G69</f>
        <v>5.3360000005341135E-2</v>
      </c>
      <c r="O69">
        <f t="shared" ca="1" si="9"/>
        <v>5.2978327074614188E-2</v>
      </c>
      <c r="Q69" s="1">
        <f t="shared" si="10"/>
        <v>37630.084600000002</v>
      </c>
    </row>
    <row r="70" spans="1:17" x14ac:dyDescent="0.2">
      <c r="A70" s="34" t="s">
        <v>34</v>
      </c>
      <c r="B70" s="27"/>
      <c r="C70" s="9">
        <v>52951.668109999999</v>
      </c>
      <c r="D70" s="9">
        <v>5.0000000000000002E-5</v>
      </c>
      <c r="E70" s="30">
        <f t="shared" si="6"/>
        <v>16377.078498040146</v>
      </c>
      <c r="F70">
        <f t="shared" si="7"/>
        <v>16377</v>
      </c>
      <c r="G70">
        <f t="shared" si="8"/>
        <v>5.2869999999529682E-2</v>
      </c>
      <c r="K70">
        <f>G70</f>
        <v>5.2869999999529682E-2</v>
      </c>
      <c r="O70">
        <f t="shared" ca="1" si="9"/>
        <v>5.4170810526647253E-2</v>
      </c>
      <c r="Q70" s="1">
        <f t="shared" si="10"/>
        <v>37933.168109999999</v>
      </c>
    </row>
    <row r="71" spans="1:17" x14ac:dyDescent="0.2">
      <c r="A71" s="35" t="s">
        <v>40</v>
      </c>
      <c r="B71" s="36" t="s">
        <v>30</v>
      </c>
      <c r="C71" s="37">
        <v>53640.006699999998</v>
      </c>
      <c r="D71" s="37">
        <v>2.0000000000000001E-4</v>
      </c>
      <c r="E71" s="30">
        <f t="shared" ref="E71:E90" si="11">+(C71-C$7)/C$8</f>
        <v>17399.080205487586</v>
      </c>
      <c r="F71">
        <f t="shared" si="7"/>
        <v>17399</v>
      </c>
      <c r="G71">
        <f t="shared" ref="G71:G90" si="12">+C71-(C$7+F71*C$8)</f>
        <v>5.401999999594409E-2</v>
      </c>
      <c r="K71">
        <f>G71</f>
        <v>5.401999999594409E-2</v>
      </c>
      <c r="O71">
        <f t="shared" ref="O71:O90" ca="1" si="13">+C$11+C$12*F71</f>
        <v>5.6879072944375671E-2</v>
      </c>
      <c r="Q71" s="1">
        <f t="shared" ref="Q71:Q90" si="14">+C71-15018.5</f>
        <v>38621.506699999998</v>
      </c>
    </row>
    <row r="72" spans="1:17" x14ac:dyDescent="0.2">
      <c r="A72" s="38" t="s">
        <v>40</v>
      </c>
      <c r="B72" s="36" t="s">
        <v>30</v>
      </c>
      <c r="C72" s="37">
        <v>53640.006699999998</v>
      </c>
      <c r="D72" s="9">
        <v>2.0000000000000001E-4</v>
      </c>
      <c r="E72" s="30">
        <f t="shared" si="11"/>
        <v>17399.080205487586</v>
      </c>
      <c r="F72">
        <f t="shared" si="7"/>
        <v>17399</v>
      </c>
      <c r="G72">
        <f t="shared" si="12"/>
        <v>5.401999999594409E-2</v>
      </c>
      <c r="K72">
        <f>G72</f>
        <v>5.401999999594409E-2</v>
      </c>
      <c r="O72">
        <f t="shared" ca="1" si="13"/>
        <v>5.6879072944375671E-2</v>
      </c>
      <c r="Q72" s="1">
        <f t="shared" si="14"/>
        <v>38621.506699999998</v>
      </c>
    </row>
    <row r="73" spans="1:17" x14ac:dyDescent="0.2">
      <c r="A73" s="35" t="s">
        <v>42</v>
      </c>
      <c r="B73" s="31"/>
      <c r="C73" s="9">
        <v>53697.2575</v>
      </c>
      <c r="D73" s="9">
        <v>2.0000000000000001E-4</v>
      </c>
      <c r="E73" s="30">
        <f t="shared" si="11"/>
        <v>17484.082581066636</v>
      </c>
      <c r="F73">
        <f t="shared" si="7"/>
        <v>17484</v>
      </c>
      <c r="G73">
        <f t="shared" si="12"/>
        <v>5.5619999999180436E-2</v>
      </c>
      <c r="J73">
        <f>G73</f>
        <v>5.5619999999180436E-2</v>
      </c>
      <c r="O73">
        <f t="shared" ca="1" si="13"/>
        <v>5.7104319818648587E-2</v>
      </c>
      <c r="Q73" s="1">
        <f t="shared" si="14"/>
        <v>38678.7575</v>
      </c>
    </row>
    <row r="74" spans="1:17" x14ac:dyDescent="0.2">
      <c r="A74" s="34" t="s">
        <v>39</v>
      </c>
      <c r="B74" s="30"/>
      <c r="C74" s="9">
        <v>53735.6466</v>
      </c>
      <c r="D74" s="9">
        <v>2.0000000000000001E-4</v>
      </c>
      <c r="E74" s="30">
        <f t="shared" si="11"/>
        <v>17541.080294571802</v>
      </c>
      <c r="F74">
        <f t="shared" si="7"/>
        <v>17541</v>
      </c>
      <c r="G74">
        <f t="shared" si="12"/>
        <v>5.408000000170432E-2</v>
      </c>
      <c r="K74">
        <f t="shared" ref="K74:K83" si="15">G74</f>
        <v>5.408000000170432E-2</v>
      </c>
      <c r="O74">
        <f t="shared" ca="1" si="13"/>
        <v>5.7255367722572774E-2</v>
      </c>
      <c r="Q74" s="1">
        <f t="shared" si="14"/>
        <v>38717.1466</v>
      </c>
    </row>
    <row r="75" spans="1:17" x14ac:dyDescent="0.2">
      <c r="A75" s="9" t="s">
        <v>51</v>
      </c>
      <c r="B75" s="27" t="s">
        <v>50</v>
      </c>
      <c r="C75" s="9">
        <v>54003.374250000001</v>
      </c>
      <c r="D75" s="9">
        <v>4.3E-3</v>
      </c>
      <c r="E75" s="30">
        <f t="shared" si="11"/>
        <v>17938.585416914124</v>
      </c>
      <c r="F75">
        <f t="shared" si="7"/>
        <v>17938.5</v>
      </c>
      <c r="G75">
        <f t="shared" si="12"/>
        <v>5.7529999998223502E-2</v>
      </c>
      <c r="K75">
        <f t="shared" si="15"/>
        <v>5.7529999998223502E-2</v>
      </c>
      <c r="O75">
        <f t="shared" ca="1" si="13"/>
        <v>5.8308728105201976E-2</v>
      </c>
      <c r="Q75" s="1">
        <f t="shared" si="14"/>
        <v>38984.874250000001</v>
      </c>
    </row>
    <row r="76" spans="1:17" x14ac:dyDescent="0.2">
      <c r="A76" s="34" t="s">
        <v>48</v>
      </c>
      <c r="B76" s="30"/>
      <c r="C76" s="9">
        <v>54354.953999999998</v>
      </c>
      <c r="D76" s="9">
        <v>3.0000000000000001E-3</v>
      </c>
      <c r="E76" s="30">
        <f t="shared" si="11"/>
        <v>18460.58884665637</v>
      </c>
      <c r="F76">
        <f t="shared" si="7"/>
        <v>18460.5</v>
      </c>
      <c r="G76">
        <f t="shared" si="12"/>
        <v>5.9840000001713634E-2</v>
      </c>
      <c r="K76">
        <f t="shared" si="15"/>
        <v>5.9840000001713634E-2</v>
      </c>
      <c r="O76">
        <f t="shared" ca="1" si="13"/>
        <v>5.9692008909560328E-2</v>
      </c>
      <c r="Q76" s="1">
        <f t="shared" si="14"/>
        <v>39336.453999999998</v>
      </c>
    </row>
    <row r="77" spans="1:17" x14ac:dyDescent="0.2">
      <c r="A77" s="9" t="s">
        <v>52</v>
      </c>
      <c r="B77" s="27" t="s">
        <v>30</v>
      </c>
      <c r="C77" s="9">
        <v>54456.313990000002</v>
      </c>
      <c r="D77" s="9">
        <v>5.0000000000000001E-4</v>
      </c>
      <c r="E77" s="30">
        <f t="shared" si="11"/>
        <v>18611.081764461342</v>
      </c>
      <c r="F77">
        <f t="shared" si="7"/>
        <v>18611</v>
      </c>
      <c r="G77">
        <f t="shared" si="12"/>
        <v>5.5070000002160668E-2</v>
      </c>
      <c r="K77">
        <f t="shared" si="15"/>
        <v>5.5070000002160668E-2</v>
      </c>
      <c r="O77">
        <f t="shared" ca="1" si="13"/>
        <v>6.0090828375184722E-2</v>
      </c>
      <c r="Q77" s="1">
        <f t="shared" si="14"/>
        <v>39437.813990000002</v>
      </c>
    </row>
    <row r="78" spans="1:17" x14ac:dyDescent="0.2">
      <c r="A78" s="9" t="s">
        <v>49</v>
      </c>
      <c r="B78" s="27" t="s">
        <v>50</v>
      </c>
      <c r="C78" s="9">
        <v>54761.764499999997</v>
      </c>
      <c r="D78" s="9">
        <v>8.0000000000000004E-4</v>
      </c>
      <c r="E78" s="30">
        <f t="shared" si="11"/>
        <v>19064.595409193487</v>
      </c>
      <c r="F78">
        <f t="shared" si="7"/>
        <v>19064.5</v>
      </c>
      <c r="G78">
        <f t="shared" si="12"/>
        <v>6.4259999999194406E-2</v>
      </c>
      <c r="K78">
        <f t="shared" si="15"/>
        <v>6.4259999999194406E-2</v>
      </c>
      <c r="O78">
        <f t="shared" ca="1" si="13"/>
        <v>6.1292586698511377E-2</v>
      </c>
      <c r="Q78" s="1">
        <f t="shared" si="14"/>
        <v>39743.264499999997</v>
      </c>
    </row>
    <row r="79" spans="1:17" x14ac:dyDescent="0.2">
      <c r="A79" s="35" t="s">
        <v>55</v>
      </c>
      <c r="B79" s="27" t="s">
        <v>30</v>
      </c>
      <c r="C79" s="9">
        <v>55500.27594</v>
      </c>
      <c r="D79" s="9">
        <v>1E-4</v>
      </c>
      <c r="E79" s="30">
        <f t="shared" si="11"/>
        <v>20161.090598645922</v>
      </c>
      <c r="F79">
        <f t="shared" si="7"/>
        <v>20161</v>
      </c>
      <c r="G79">
        <f t="shared" si="12"/>
        <v>6.1020000001008157E-2</v>
      </c>
      <c r="K79">
        <f t="shared" si="15"/>
        <v>6.1020000001008157E-2</v>
      </c>
      <c r="O79">
        <f t="shared" ca="1" si="13"/>
        <v>6.4198271376631935E-2</v>
      </c>
      <c r="Q79" s="1">
        <f t="shared" si="14"/>
        <v>40481.77594</v>
      </c>
    </row>
    <row r="80" spans="1:17" x14ac:dyDescent="0.2">
      <c r="A80" s="35" t="s">
        <v>58</v>
      </c>
      <c r="B80" s="27" t="s">
        <v>50</v>
      </c>
      <c r="C80" s="9">
        <v>55829.292710000002</v>
      </c>
      <c r="D80" s="9">
        <v>2.9999999999999997E-4</v>
      </c>
      <c r="E80" s="30">
        <f t="shared" si="11"/>
        <v>20649.593939303959</v>
      </c>
      <c r="F80">
        <f t="shared" si="7"/>
        <v>20649.5</v>
      </c>
      <c r="G80">
        <f t="shared" si="12"/>
        <v>6.3270000006014016E-2</v>
      </c>
      <c r="K80">
        <f t="shared" si="15"/>
        <v>6.3270000006014016E-2</v>
      </c>
      <c r="N80">
        <f>G80</f>
        <v>6.3270000006014016E-2</v>
      </c>
      <c r="O80">
        <f t="shared" ca="1" si="13"/>
        <v>6.5492778412894498E-2</v>
      </c>
      <c r="Q80" s="1">
        <f t="shared" si="14"/>
        <v>40810.792710000002</v>
      </c>
    </row>
    <row r="81" spans="1:17" x14ac:dyDescent="0.2">
      <c r="A81" s="35" t="s">
        <v>58</v>
      </c>
      <c r="B81" s="27" t="s">
        <v>30</v>
      </c>
      <c r="C81" s="9">
        <v>55829.627849999997</v>
      </c>
      <c r="D81" s="9">
        <v>2.9999999999999997E-4</v>
      </c>
      <c r="E81" s="30">
        <f t="shared" si="11"/>
        <v>20650.091534030165</v>
      </c>
      <c r="F81">
        <f t="shared" si="7"/>
        <v>20650</v>
      </c>
      <c r="G81">
        <f t="shared" si="12"/>
        <v>6.1649999996006954E-2</v>
      </c>
      <c r="K81">
        <f t="shared" si="15"/>
        <v>6.1649999996006954E-2</v>
      </c>
      <c r="N81">
        <f>G81</f>
        <v>6.1649999996006954E-2</v>
      </c>
      <c r="O81">
        <f t="shared" ca="1" si="13"/>
        <v>6.5494103394507869E-2</v>
      </c>
      <c r="Q81" s="1">
        <f t="shared" si="14"/>
        <v>40811.127849999997</v>
      </c>
    </row>
    <row r="82" spans="1:17" x14ac:dyDescent="0.2">
      <c r="A82" s="35" t="s">
        <v>58</v>
      </c>
      <c r="B82" s="27" t="s">
        <v>50</v>
      </c>
      <c r="C82" s="9">
        <v>56252.267650000002</v>
      </c>
      <c r="D82" s="9">
        <v>5.0000000000000001E-4</v>
      </c>
      <c r="E82" s="30">
        <f t="shared" si="11"/>
        <v>21277.6004424516</v>
      </c>
      <c r="F82">
        <f t="shared" si="7"/>
        <v>21277.5</v>
      </c>
      <c r="G82">
        <f t="shared" si="12"/>
        <v>6.7650000004505273E-2</v>
      </c>
      <c r="K82">
        <f t="shared" si="15"/>
        <v>6.7650000004505273E-2</v>
      </c>
      <c r="N82">
        <f>G82</f>
        <v>6.7650000004505273E-2</v>
      </c>
      <c r="O82">
        <f t="shared" ca="1" si="13"/>
        <v>6.7156955319287309E-2</v>
      </c>
      <c r="Q82" s="1">
        <f t="shared" si="14"/>
        <v>41233.767650000002</v>
      </c>
    </row>
    <row r="83" spans="1:17" x14ac:dyDescent="0.2">
      <c r="A83" s="35" t="s">
        <v>57</v>
      </c>
      <c r="B83" s="27" t="s">
        <v>50</v>
      </c>
      <c r="C83" s="9">
        <v>56255.6322</v>
      </c>
      <c r="D83" s="9">
        <v>6.0000000000000006E-4</v>
      </c>
      <c r="E83" s="30">
        <f t="shared" si="11"/>
        <v>21282.59591400404</v>
      </c>
      <c r="F83">
        <f t="shared" si="7"/>
        <v>21282.5</v>
      </c>
      <c r="G83">
        <f t="shared" si="12"/>
        <v>6.4600000005157199E-2</v>
      </c>
      <c r="K83">
        <f t="shared" si="15"/>
        <v>6.4600000005157199E-2</v>
      </c>
      <c r="O83">
        <f t="shared" ca="1" si="13"/>
        <v>6.7170205135421004E-2</v>
      </c>
      <c r="Q83" s="1">
        <f t="shared" si="14"/>
        <v>41237.1322</v>
      </c>
    </row>
    <row r="84" spans="1:17" x14ac:dyDescent="0.2">
      <c r="A84" s="39" t="s">
        <v>59</v>
      </c>
      <c r="B84" s="40" t="s">
        <v>30</v>
      </c>
      <c r="C84" s="39">
        <v>56886.386200000001</v>
      </c>
      <c r="D84" s="39">
        <v>2.7000000000000001E-3</v>
      </c>
      <c r="E84" s="30">
        <f t="shared" si="11"/>
        <v>22219.099655541042</v>
      </c>
      <c r="F84">
        <f t="shared" si="7"/>
        <v>22219</v>
      </c>
      <c r="G84">
        <f t="shared" si="12"/>
        <v>6.7119999999704305E-2</v>
      </c>
      <c r="J84">
        <f>G84</f>
        <v>6.7119999999704305E-2</v>
      </c>
      <c r="O84">
        <f t="shared" ca="1" si="13"/>
        <v>6.9651895697263141E-2</v>
      </c>
      <c r="Q84" s="1">
        <f t="shared" si="14"/>
        <v>41867.886200000001</v>
      </c>
    </row>
    <row r="85" spans="1:17" x14ac:dyDescent="0.2">
      <c r="A85" s="56" t="s">
        <v>298</v>
      </c>
      <c r="B85" s="57" t="s">
        <v>30</v>
      </c>
      <c r="C85" s="58">
        <v>56919.392319999999</v>
      </c>
      <c r="D85" s="58">
        <v>2.0000000000000001E-4</v>
      </c>
      <c r="E85" s="30">
        <f t="shared" si="11"/>
        <v>22268.105059983369</v>
      </c>
      <c r="F85">
        <f t="shared" si="7"/>
        <v>22268</v>
      </c>
      <c r="G85">
        <f t="shared" si="12"/>
        <v>7.076000000233762E-2</v>
      </c>
      <c r="K85">
        <f t="shared" ref="K85:K90" si="16">G85</f>
        <v>7.076000000233762E-2</v>
      </c>
      <c r="O85">
        <f t="shared" ca="1" si="13"/>
        <v>6.9781743895373408E-2</v>
      </c>
      <c r="Q85" s="1">
        <f t="shared" si="14"/>
        <v>41900.892319999999</v>
      </c>
    </row>
    <row r="86" spans="1:17" x14ac:dyDescent="0.2">
      <c r="A86" s="56" t="s">
        <v>298</v>
      </c>
      <c r="B86" s="57" t="s">
        <v>50</v>
      </c>
      <c r="C86" s="58">
        <v>56943.300660000001</v>
      </c>
      <c r="D86" s="58">
        <v>1E-3</v>
      </c>
      <c r="E86" s="30">
        <f t="shared" si="11"/>
        <v>22303.602654709586</v>
      </c>
      <c r="F86">
        <f t="shared" si="7"/>
        <v>22303.5</v>
      </c>
      <c r="G86">
        <f t="shared" si="12"/>
        <v>6.9139999999606516E-2</v>
      </c>
      <c r="K86">
        <f t="shared" si="16"/>
        <v>6.9139999999606516E-2</v>
      </c>
      <c r="O86">
        <f t="shared" ca="1" si="13"/>
        <v>6.9875817589922687E-2</v>
      </c>
      <c r="Q86" s="1">
        <f t="shared" si="14"/>
        <v>41924.800660000001</v>
      </c>
    </row>
    <row r="87" spans="1:17" x14ac:dyDescent="0.2">
      <c r="A87" s="59" t="s">
        <v>0</v>
      </c>
      <c r="B87" s="60" t="s">
        <v>30</v>
      </c>
      <c r="C87" s="61">
        <v>57264.570800000001</v>
      </c>
      <c r="D87" s="61">
        <v>8.6999999999999994E-3</v>
      </c>
      <c r="E87" s="30">
        <f t="shared" si="11"/>
        <v>22780.604287920185</v>
      </c>
      <c r="F87">
        <f t="shared" si="7"/>
        <v>22780.5</v>
      </c>
      <c r="G87">
        <f t="shared" si="12"/>
        <v>7.0240000000922009E-2</v>
      </c>
      <c r="K87">
        <f t="shared" si="16"/>
        <v>7.0240000000922009E-2</v>
      </c>
      <c r="O87">
        <f t="shared" ca="1" si="13"/>
        <v>7.1139850049077732E-2</v>
      </c>
      <c r="Q87" s="1">
        <f t="shared" si="14"/>
        <v>42246.070800000001</v>
      </c>
    </row>
    <row r="88" spans="1:17" x14ac:dyDescent="0.2">
      <c r="A88" s="56" t="s">
        <v>298</v>
      </c>
      <c r="B88" s="57" t="s">
        <v>30</v>
      </c>
      <c r="C88" s="58">
        <v>57406.348599999998</v>
      </c>
      <c r="D88" s="58">
        <v>4.0000000000000002E-4</v>
      </c>
      <c r="E88" s="30">
        <f t="shared" si="11"/>
        <v>22991.107019836083</v>
      </c>
      <c r="F88">
        <f t="shared" si="7"/>
        <v>22991</v>
      </c>
      <c r="G88">
        <f t="shared" si="12"/>
        <v>7.2079999998095445E-2</v>
      </c>
      <c r="K88">
        <f t="shared" si="16"/>
        <v>7.2079999998095445E-2</v>
      </c>
      <c r="O88">
        <f t="shared" ca="1" si="13"/>
        <v>7.169766730830654E-2</v>
      </c>
      <c r="Q88" s="1">
        <f t="shared" si="14"/>
        <v>42387.848599999998</v>
      </c>
    </row>
    <row r="89" spans="1:17" x14ac:dyDescent="0.2">
      <c r="A89" s="56" t="s">
        <v>298</v>
      </c>
      <c r="B89" s="57" t="s">
        <v>30</v>
      </c>
      <c r="C89" s="58">
        <v>57626.583740000002</v>
      </c>
      <c r="D89" s="58">
        <v>2.9999999999999997E-4</v>
      </c>
      <c r="E89" s="30">
        <f t="shared" si="11"/>
        <v>23318.098259888353</v>
      </c>
      <c r="F89">
        <f t="shared" si="7"/>
        <v>23318</v>
      </c>
      <c r="G89">
        <f t="shared" si="12"/>
        <v>6.618000000162283E-2</v>
      </c>
      <c r="K89">
        <f t="shared" si="16"/>
        <v>6.618000000162283E-2</v>
      </c>
      <c r="O89">
        <f t="shared" ca="1" si="13"/>
        <v>7.2564205283450561E-2</v>
      </c>
      <c r="Q89" s="1">
        <f t="shared" si="14"/>
        <v>42608.083740000002</v>
      </c>
    </row>
    <row r="90" spans="1:17" x14ac:dyDescent="0.2">
      <c r="A90" s="59" t="s">
        <v>297</v>
      </c>
      <c r="B90" s="60" t="s">
        <v>30</v>
      </c>
      <c r="C90" s="61">
        <v>57676.4329</v>
      </c>
      <c r="D90" s="61">
        <v>1E-4</v>
      </c>
      <c r="E90" s="30">
        <f t="shared" si="11"/>
        <v>23392.111147404681</v>
      </c>
      <c r="F90">
        <f t="shared" si="7"/>
        <v>23392</v>
      </c>
      <c r="G90">
        <f t="shared" si="12"/>
        <v>7.4860000000626314E-2</v>
      </c>
      <c r="K90">
        <f t="shared" si="16"/>
        <v>7.4860000000626314E-2</v>
      </c>
      <c r="O90">
        <f t="shared" ca="1" si="13"/>
        <v>7.2760302562229318E-2</v>
      </c>
      <c r="Q90" s="1">
        <f t="shared" si="14"/>
        <v>42657.9329</v>
      </c>
    </row>
    <row r="91" spans="1:17" x14ac:dyDescent="0.2">
      <c r="A91" s="21" t="s">
        <v>299</v>
      </c>
      <c r="B91" s="4"/>
      <c r="C91" s="12">
        <v>58783.7045</v>
      </c>
      <c r="D91" s="12">
        <v>2.0000000000000001E-4</v>
      </c>
      <c r="E91" s="30">
        <f>+(C91-C$7)/C$8</f>
        <v>25036.11815536287</v>
      </c>
      <c r="F91">
        <f t="shared" si="7"/>
        <v>25036</v>
      </c>
      <c r="G91">
        <f>+C91-(C$7+F91*C$8)</f>
        <v>7.9579999997804407E-2</v>
      </c>
      <c r="K91">
        <f>G91</f>
        <v>7.9579999997804407E-2</v>
      </c>
      <c r="O91">
        <f ca="1">+C$11+C$12*F91</f>
        <v>7.7116842106990102E-2</v>
      </c>
      <c r="Q91" s="1">
        <f>+C91-15018.5</f>
        <v>43765.2045</v>
      </c>
    </row>
    <row r="92" spans="1:17" x14ac:dyDescent="0.2">
      <c r="A92" s="62" t="s">
        <v>300</v>
      </c>
      <c r="B92" s="63" t="s">
        <v>30</v>
      </c>
      <c r="C92" s="64">
        <v>58027.342699999921</v>
      </c>
      <c r="D92" s="64">
        <v>4.0000000000000002E-4</v>
      </c>
      <c r="E92" s="30">
        <f>+(C92-C$7)/C$8</f>
        <v>23913.119877657562</v>
      </c>
      <c r="F92">
        <f t="shared" si="7"/>
        <v>23913</v>
      </c>
      <c r="G92">
        <f>+C92-(C$7+F92*C$8)</f>
        <v>8.0739999917568639E-2</v>
      </c>
      <c r="K92">
        <f>G92</f>
        <v>8.0739999917568639E-2</v>
      </c>
      <c r="O92">
        <f ca="1">+C$11+C$12*F92</f>
        <v>7.4140933403360948E-2</v>
      </c>
      <c r="Q92" s="1">
        <f>+C92-15018.5</f>
        <v>43008.842699999921</v>
      </c>
    </row>
    <row r="93" spans="1:17" x14ac:dyDescent="0.2">
      <c r="A93" s="62" t="s">
        <v>300</v>
      </c>
      <c r="B93" s="63" t="s">
        <v>30</v>
      </c>
      <c r="C93" s="64">
        <v>58027.34384000022</v>
      </c>
      <c r="D93" s="64">
        <v>5.9999999999999995E-4</v>
      </c>
      <c r="E93" s="30">
        <f>+(C93-C$7)/C$8</f>
        <v>23913.121570258078</v>
      </c>
      <c r="F93">
        <f t="shared" si="7"/>
        <v>23913</v>
      </c>
      <c r="G93">
        <f>+C93-(C$7+F93*C$8)</f>
        <v>8.1880000216187909E-2</v>
      </c>
      <c r="K93">
        <f>G93</f>
        <v>8.1880000216187909E-2</v>
      </c>
      <c r="O93">
        <f ca="1">+C$11+C$12*F93</f>
        <v>7.4140933403360948E-2</v>
      </c>
      <c r="Q93" s="1">
        <f>+C93-15018.5</f>
        <v>43008.84384000022</v>
      </c>
    </row>
    <row r="94" spans="1:17" x14ac:dyDescent="0.2">
      <c r="A94" s="62" t="s">
        <v>300</v>
      </c>
      <c r="B94" s="63" t="s">
        <v>30</v>
      </c>
      <c r="C94" s="64">
        <v>58027.345350000076</v>
      </c>
      <c r="D94" s="64">
        <v>8.0000000000000004E-4</v>
      </c>
      <c r="E94" s="30">
        <f>+(C94-C$7)/C$8</f>
        <v>23913.12381221059</v>
      </c>
      <c r="F94">
        <f t="shared" si="7"/>
        <v>23913</v>
      </c>
      <c r="G94">
        <f>+C94-(C$7+F94*C$8)</f>
        <v>8.3390000072540715E-2</v>
      </c>
      <c r="K94">
        <f>G94</f>
        <v>8.3390000072540715E-2</v>
      </c>
      <c r="O94">
        <f ca="1">+C$11+C$12*F94</f>
        <v>7.4140933403360948E-2</v>
      </c>
      <c r="Q94" s="1">
        <f>+C94-15018.5</f>
        <v>43008.845350000076</v>
      </c>
    </row>
    <row r="95" spans="1:17" x14ac:dyDescent="0.2">
      <c r="A95" s="66" t="s">
        <v>302</v>
      </c>
      <c r="B95" s="67" t="s">
        <v>30</v>
      </c>
      <c r="C95" s="68">
        <v>60102.454499999993</v>
      </c>
      <c r="D95" s="66">
        <v>5.9999999999999995E-4</v>
      </c>
      <c r="E95" s="30">
        <f>+(C95-C$7)/C$8</f>
        <v>26994.114948331146</v>
      </c>
      <c r="F95">
        <f t="shared" ref="F95" si="17">ROUND(2*E95,0)/2</f>
        <v>26994</v>
      </c>
      <c r="G95">
        <f>+C95-(C$7+F95*C$8)</f>
        <v>7.7419999994162936E-2</v>
      </c>
      <c r="K95">
        <f>G95</f>
        <v>7.7419999994162936E-2</v>
      </c>
      <c r="O95">
        <f ca="1">+C$11+C$12*F95</f>
        <v>8.2305470104947293E-2</v>
      </c>
      <c r="Q95" s="1">
        <f>+C95-15018.5</f>
        <v>45083.954499999993</v>
      </c>
    </row>
  </sheetData>
  <protectedRanges>
    <protectedRange sqref="A92:D94" name="Range1"/>
  </protectedRanges>
  <phoneticPr fontId="0" type="noConversion"/>
  <hyperlinks>
    <hyperlink ref="H2290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topLeftCell="A32" workbookViewId="0">
      <selection activeCell="A29" sqref="A29:D71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1" t="s">
        <v>60</v>
      </c>
      <c r="I1" s="42" t="s">
        <v>61</v>
      </c>
      <c r="J1" s="43" t="s">
        <v>62</v>
      </c>
    </row>
    <row r="2" spans="1:16" x14ac:dyDescent="0.2">
      <c r="I2" s="44" t="s">
        <v>63</v>
      </c>
      <c r="J2" s="45" t="s">
        <v>56</v>
      </c>
    </row>
    <row r="3" spans="1:16" x14ac:dyDescent="0.2">
      <c r="A3" s="46" t="s">
        <v>64</v>
      </c>
      <c r="I3" s="44" t="s">
        <v>65</v>
      </c>
      <c r="J3" s="45" t="s">
        <v>66</v>
      </c>
    </row>
    <row r="4" spans="1:16" x14ac:dyDescent="0.2">
      <c r="I4" s="44" t="s">
        <v>67</v>
      </c>
      <c r="J4" s="45" t="s">
        <v>66</v>
      </c>
    </row>
    <row r="5" spans="1:16" ht="13.5" thickBot="1" x14ac:dyDescent="0.25">
      <c r="I5" s="47" t="s">
        <v>68</v>
      </c>
      <c r="J5" s="48" t="s">
        <v>69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IBVS 867 </v>
      </c>
      <c r="B11" s="4" t="str">
        <f t="shared" ref="B11:B42" si="1">IF(H11=INT(H11),"I","II")</f>
        <v>I</v>
      </c>
      <c r="C11" s="12">
        <f t="shared" ref="C11:C42" si="2">1*G11</f>
        <v>41921.378199999999</v>
      </c>
      <c r="D11" s="11" t="str">
        <f t="shared" ref="D11:D42" si="3">VLOOKUP(F11,I$1:J$5,2,FALSE)</f>
        <v>vis</v>
      </c>
      <c r="E11" s="49">
        <f>VLOOKUP(C11,Active!C$21:E$969,3,FALSE)</f>
        <v>0</v>
      </c>
      <c r="F11" s="4" t="s">
        <v>68</v>
      </c>
      <c r="G11" s="11" t="str">
        <f t="shared" ref="G11:G42" si="4">MID(I11,3,LEN(I11)-3)</f>
        <v>41921.3782</v>
      </c>
      <c r="H11" s="12">
        <f t="shared" ref="H11:H42" si="5">1*K11</f>
        <v>0</v>
      </c>
      <c r="I11" s="50" t="s">
        <v>164</v>
      </c>
      <c r="J11" s="51" t="s">
        <v>165</v>
      </c>
      <c r="K11" s="50">
        <v>0</v>
      </c>
      <c r="L11" s="50" t="s">
        <v>166</v>
      </c>
      <c r="M11" s="51" t="s">
        <v>167</v>
      </c>
      <c r="N11" s="51" t="s">
        <v>168</v>
      </c>
      <c r="O11" s="52" t="s">
        <v>169</v>
      </c>
      <c r="P11" s="53" t="s">
        <v>170</v>
      </c>
    </row>
    <row r="12" spans="1:16" ht="12.75" customHeight="1" thickBot="1" x14ac:dyDescent="0.25">
      <c r="A12" s="12" t="str">
        <f t="shared" si="0"/>
        <v>BAVM 80 </v>
      </c>
      <c r="B12" s="4" t="str">
        <f t="shared" si="1"/>
        <v>II</v>
      </c>
      <c r="C12" s="12">
        <f t="shared" si="2"/>
        <v>49641.310700000002</v>
      </c>
      <c r="D12" s="11" t="str">
        <f t="shared" si="3"/>
        <v>vis</v>
      </c>
      <c r="E12" s="49">
        <f>VLOOKUP(C12,Active!C$21:E$969,3,FALSE)</f>
        <v>11462.068683929212</v>
      </c>
      <c r="F12" s="4" t="s">
        <v>68</v>
      </c>
      <c r="G12" s="11" t="str">
        <f t="shared" si="4"/>
        <v>49641.3107</v>
      </c>
      <c r="H12" s="12">
        <f t="shared" si="5"/>
        <v>11457.5</v>
      </c>
      <c r="I12" s="50" t="s">
        <v>207</v>
      </c>
      <c r="J12" s="51" t="s">
        <v>208</v>
      </c>
      <c r="K12" s="50">
        <v>11457.5</v>
      </c>
      <c r="L12" s="50" t="s">
        <v>209</v>
      </c>
      <c r="M12" s="51" t="s">
        <v>167</v>
      </c>
      <c r="N12" s="51" t="s">
        <v>204</v>
      </c>
      <c r="O12" s="52" t="s">
        <v>205</v>
      </c>
      <c r="P12" s="53" t="s">
        <v>210</v>
      </c>
    </row>
    <row r="13" spans="1:16" ht="12.75" customHeight="1" thickBot="1" x14ac:dyDescent="0.25">
      <c r="A13" s="12" t="str">
        <f t="shared" si="0"/>
        <v>BAVM 91 </v>
      </c>
      <c r="B13" s="4" t="str">
        <f t="shared" si="1"/>
        <v>II</v>
      </c>
      <c r="C13" s="12">
        <f t="shared" si="2"/>
        <v>50033.301399999997</v>
      </c>
      <c r="D13" s="11" t="str">
        <f t="shared" si="3"/>
        <v>vis</v>
      </c>
      <c r="E13" s="49">
        <f>VLOOKUP(C13,Active!C$21:E$969,3,FALSE)</f>
        <v>12044.071742487227</v>
      </c>
      <c r="F13" s="4" t="s">
        <v>68</v>
      </c>
      <c r="G13" s="11" t="str">
        <f t="shared" si="4"/>
        <v>50033.3014</v>
      </c>
      <c r="H13" s="12">
        <f t="shared" si="5"/>
        <v>12039.5</v>
      </c>
      <c r="I13" s="50" t="s">
        <v>211</v>
      </c>
      <c r="J13" s="51" t="s">
        <v>212</v>
      </c>
      <c r="K13" s="50">
        <v>12039.5</v>
      </c>
      <c r="L13" s="50" t="s">
        <v>213</v>
      </c>
      <c r="M13" s="51" t="s">
        <v>167</v>
      </c>
      <c r="N13" s="51" t="s">
        <v>204</v>
      </c>
      <c r="O13" s="52" t="s">
        <v>205</v>
      </c>
      <c r="P13" s="53" t="s">
        <v>214</v>
      </c>
    </row>
    <row r="14" spans="1:16" ht="12.75" customHeight="1" thickBot="1" x14ac:dyDescent="0.25">
      <c r="A14" s="12" t="str">
        <f t="shared" si="0"/>
        <v>BAVM 117 </v>
      </c>
      <c r="B14" s="4" t="str">
        <f t="shared" si="1"/>
        <v>II</v>
      </c>
      <c r="C14" s="12">
        <f t="shared" si="2"/>
        <v>50751.2736</v>
      </c>
      <c r="D14" s="11" t="str">
        <f t="shared" si="3"/>
        <v>vis</v>
      </c>
      <c r="E14" s="49">
        <f>VLOOKUP(C14,Active!C$21:E$969,3,FALSE)</f>
        <v>13110.071564318805</v>
      </c>
      <c r="F14" s="4" t="s">
        <v>68</v>
      </c>
      <c r="G14" s="11" t="str">
        <f t="shared" si="4"/>
        <v>50751.2736</v>
      </c>
      <c r="H14" s="12">
        <f t="shared" si="5"/>
        <v>13105.5</v>
      </c>
      <c r="I14" s="50" t="s">
        <v>215</v>
      </c>
      <c r="J14" s="51" t="s">
        <v>216</v>
      </c>
      <c r="K14" s="50">
        <v>13105.5</v>
      </c>
      <c r="L14" s="50" t="s">
        <v>217</v>
      </c>
      <c r="M14" s="51" t="s">
        <v>167</v>
      </c>
      <c r="N14" s="51" t="s">
        <v>204</v>
      </c>
      <c r="O14" s="52" t="s">
        <v>205</v>
      </c>
      <c r="P14" s="53" t="s">
        <v>218</v>
      </c>
    </row>
    <row r="15" spans="1:16" ht="12.75" customHeight="1" thickBot="1" x14ac:dyDescent="0.25">
      <c r="A15" s="12" t="str">
        <f t="shared" si="0"/>
        <v>BAVM 152 </v>
      </c>
      <c r="B15" s="4" t="str">
        <f t="shared" si="1"/>
        <v>II</v>
      </c>
      <c r="C15" s="12">
        <f t="shared" si="2"/>
        <v>51782.435700000002</v>
      </c>
      <c r="D15" s="11" t="str">
        <f t="shared" si="3"/>
        <v>vis</v>
      </c>
      <c r="E15" s="49">
        <f>VLOOKUP(C15,Active!C$21:E$969,3,FALSE)</f>
        <v>14641.075988834782</v>
      </c>
      <c r="F15" s="4" t="s">
        <v>68</v>
      </c>
      <c r="G15" s="11" t="str">
        <f t="shared" si="4"/>
        <v>51782.4357</v>
      </c>
      <c r="H15" s="12">
        <f t="shared" si="5"/>
        <v>14636.5</v>
      </c>
      <c r="I15" s="50" t="s">
        <v>219</v>
      </c>
      <c r="J15" s="51" t="s">
        <v>220</v>
      </c>
      <c r="K15" s="50">
        <v>14636.5</v>
      </c>
      <c r="L15" s="50" t="s">
        <v>221</v>
      </c>
      <c r="M15" s="51" t="s">
        <v>167</v>
      </c>
      <c r="N15" s="51" t="s">
        <v>204</v>
      </c>
      <c r="O15" s="52" t="s">
        <v>222</v>
      </c>
      <c r="P15" s="53" t="s">
        <v>223</v>
      </c>
    </row>
    <row r="16" spans="1:16" ht="12.75" customHeight="1" thickBot="1" x14ac:dyDescent="0.25">
      <c r="A16" s="12" t="str">
        <f t="shared" si="0"/>
        <v>IBVS 5594 </v>
      </c>
      <c r="B16" s="4" t="str">
        <f t="shared" si="1"/>
        <v>II</v>
      </c>
      <c r="C16" s="12">
        <f t="shared" si="2"/>
        <v>52448.547100000003</v>
      </c>
      <c r="D16" s="11" t="str">
        <f t="shared" si="3"/>
        <v>vis</v>
      </c>
      <c r="E16" s="49">
        <f>VLOOKUP(C16,Active!C$21:E$969,3,FALSE)</f>
        <v>15630.076167003213</v>
      </c>
      <c r="F16" s="4" t="s">
        <v>68</v>
      </c>
      <c r="G16" s="11" t="str">
        <f t="shared" si="4"/>
        <v>52448.5471</v>
      </c>
      <c r="H16" s="12">
        <f t="shared" si="5"/>
        <v>15625.5</v>
      </c>
      <c r="I16" s="50" t="s">
        <v>224</v>
      </c>
      <c r="J16" s="51" t="s">
        <v>225</v>
      </c>
      <c r="K16" s="50">
        <v>15625.5</v>
      </c>
      <c r="L16" s="50" t="s">
        <v>226</v>
      </c>
      <c r="M16" s="51" t="s">
        <v>167</v>
      </c>
      <c r="N16" s="51" t="s">
        <v>168</v>
      </c>
      <c r="O16" s="52" t="s">
        <v>227</v>
      </c>
      <c r="P16" s="53" t="s">
        <v>228</v>
      </c>
    </row>
    <row r="17" spans="1:16" ht="12.75" customHeight="1" thickBot="1" x14ac:dyDescent="0.25">
      <c r="A17" s="12" t="str">
        <f t="shared" si="0"/>
        <v>IBVS 5502 </v>
      </c>
      <c r="B17" s="4" t="str">
        <f t="shared" si="1"/>
        <v>II</v>
      </c>
      <c r="C17" s="12">
        <f t="shared" si="2"/>
        <v>52648.584600000002</v>
      </c>
      <c r="D17" s="11" t="str">
        <f t="shared" si="3"/>
        <v>vis</v>
      </c>
      <c r="E17" s="49">
        <f>VLOOKUP(C17,Active!C$21:E$969,3,FALSE)</f>
        <v>15927.079225561234</v>
      </c>
      <c r="F17" s="4" t="s">
        <v>68</v>
      </c>
      <c r="G17" s="11" t="str">
        <f t="shared" si="4"/>
        <v>52648.5846</v>
      </c>
      <c r="H17" s="12">
        <f t="shared" si="5"/>
        <v>15922.5</v>
      </c>
      <c r="I17" s="50" t="s">
        <v>229</v>
      </c>
      <c r="J17" s="51" t="s">
        <v>230</v>
      </c>
      <c r="K17" s="50">
        <v>15922.5</v>
      </c>
      <c r="L17" s="50" t="s">
        <v>231</v>
      </c>
      <c r="M17" s="51" t="s">
        <v>167</v>
      </c>
      <c r="N17" s="51" t="s">
        <v>168</v>
      </c>
      <c r="O17" s="52" t="s">
        <v>232</v>
      </c>
      <c r="P17" s="53" t="s">
        <v>233</v>
      </c>
    </row>
    <row r="18" spans="1:16" ht="12.75" customHeight="1" thickBot="1" x14ac:dyDescent="0.25">
      <c r="A18" s="12" t="str">
        <f t="shared" si="0"/>
        <v>IBVS 5694 </v>
      </c>
      <c r="B18" s="4" t="str">
        <f t="shared" si="1"/>
        <v>II</v>
      </c>
      <c r="C18" s="12">
        <f t="shared" si="2"/>
        <v>53640.006699999998</v>
      </c>
      <c r="D18" s="11" t="str">
        <f t="shared" si="3"/>
        <v>vis</v>
      </c>
      <c r="E18" s="49">
        <f>VLOOKUP(C18,Active!C$21:E$969,3,FALSE)</f>
        <v>17399.080205487586</v>
      </c>
      <c r="F18" s="4" t="s">
        <v>68</v>
      </c>
      <c r="G18" s="11" t="str">
        <f t="shared" si="4"/>
        <v>53640.0067</v>
      </c>
      <c r="H18" s="12">
        <f t="shared" si="5"/>
        <v>17394.5</v>
      </c>
      <c r="I18" s="50" t="s">
        <v>239</v>
      </c>
      <c r="J18" s="51" t="s">
        <v>240</v>
      </c>
      <c r="K18" s="50">
        <v>17394.5</v>
      </c>
      <c r="L18" s="50" t="s">
        <v>241</v>
      </c>
      <c r="M18" s="51" t="s">
        <v>167</v>
      </c>
      <c r="N18" s="51" t="s">
        <v>168</v>
      </c>
      <c r="O18" s="52" t="s">
        <v>242</v>
      </c>
      <c r="P18" s="53" t="s">
        <v>243</v>
      </c>
    </row>
    <row r="19" spans="1:16" ht="12.75" customHeight="1" thickBot="1" x14ac:dyDescent="0.25">
      <c r="A19" s="12" t="str">
        <f t="shared" si="0"/>
        <v>BAVM 178 </v>
      </c>
      <c r="B19" s="4" t="str">
        <f t="shared" si="1"/>
        <v>II</v>
      </c>
      <c r="C19" s="12">
        <f t="shared" si="2"/>
        <v>53697.2575</v>
      </c>
      <c r="D19" s="11" t="str">
        <f t="shared" si="3"/>
        <v>vis</v>
      </c>
      <c r="E19" s="49">
        <f>VLOOKUP(C19,Active!C$21:E$969,3,FALSE)</f>
        <v>17484.082581066636</v>
      </c>
      <c r="F19" s="4" t="s">
        <v>68</v>
      </c>
      <c r="G19" s="11" t="str">
        <f t="shared" si="4"/>
        <v>53697.2575</v>
      </c>
      <c r="H19" s="12">
        <f t="shared" si="5"/>
        <v>17479.5</v>
      </c>
      <c r="I19" s="50" t="s">
        <v>244</v>
      </c>
      <c r="J19" s="51" t="s">
        <v>245</v>
      </c>
      <c r="K19" s="50">
        <v>17479.5</v>
      </c>
      <c r="L19" s="50" t="s">
        <v>246</v>
      </c>
      <c r="M19" s="51" t="s">
        <v>247</v>
      </c>
      <c r="N19" s="51" t="s">
        <v>204</v>
      </c>
      <c r="O19" s="52" t="s">
        <v>248</v>
      </c>
      <c r="P19" s="53" t="s">
        <v>249</v>
      </c>
    </row>
    <row r="20" spans="1:16" ht="12.75" customHeight="1" thickBot="1" x14ac:dyDescent="0.25">
      <c r="A20" s="12" t="str">
        <f t="shared" si="0"/>
        <v>IBVS 5672 </v>
      </c>
      <c r="B20" s="4" t="str">
        <f t="shared" si="1"/>
        <v>II</v>
      </c>
      <c r="C20" s="12">
        <f t="shared" si="2"/>
        <v>53735.6466</v>
      </c>
      <c r="D20" s="11" t="str">
        <f t="shared" si="3"/>
        <v>vis</v>
      </c>
      <c r="E20" s="49">
        <f>VLOOKUP(C20,Active!C$21:E$969,3,FALSE)</f>
        <v>17541.080294571802</v>
      </c>
      <c r="F20" s="4" t="s">
        <v>68</v>
      </c>
      <c r="G20" s="11" t="str">
        <f t="shared" si="4"/>
        <v>53735.6466</v>
      </c>
      <c r="H20" s="12">
        <f t="shared" si="5"/>
        <v>17536.5</v>
      </c>
      <c r="I20" s="50" t="s">
        <v>250</v>
      </c>
      <c r="J20" s="51" t="s">
        <v>251</v>
      </c>
      <c r="K20" s="50">
        <v>17536.5</v>
      </c>
      <c r="L20" s="50" t="s">
        <v>241</v>
      </c>
      <c r="M20" s="51" t="s">
        <v>167</v>
      </c>
      <c r="N20" s="51" t="s">
        <v>168</v>
      </c>
      <c r="O20" s="52" t="s">
        <v>237</v>
      </c>
      <c r="P20" s="53" t="s">
        <v>252</v>
      </c>
    </row>
    <row r="21" spans="1:16" ht="12.75" customHeight="1" thickBot="1" x14ac:dyDescent="0.25">
      <c r="A21" s="12" t="str">
        <f t="shared" si="0"/>
        <v>OEJV 0074 </v>
      </c>
      <c r="B21" s="4" t="str">
        <f t="shared" si="1"/>
        <v>I</v>
      </c>
      <c r="C21" s="12">
        <f t="shared" si="2"/>
        <v>54003.374250000001</v>
      </c>
      <c r="D21" s="11" t="str">
        <f t="shared" si="3"/>
        <v>vis</v>
      </c>
      <c r="E21" s="49">
        <f>VLOOKUP(C21,Active!C$21:E$969,3,FALSE)</f>
        <v>17938.585416914124</v>
      </c>
      <c r="F21" s="4" t="s">
        <v>68</v>
      </c>
      <c r="G21" s="11" t="str">
        <f t="shared" si="4"/>
        <v>54003.37425</v>
      </c>
      <c r="H21" s="12">
        <f t="shared" si="5"/>
        <v>17934</v>
      </c>
      <c r="I21" s="50" t="s">
        <v>253</v>
      </c>
      <c r="J21" s="51" t="s">
        <v>254</v>
      </c>
      <c r="K21" s="50">
        <v>17934</v>
      </c>
      <c r="L21" s="50" t="s">
        <v>255</v>
      </c>
      <c r="M21" s="51" t="s">
        <v>247</v>
      </c>
      <c r="N21" s="51" t="s">
        <v>256</v>
      </c>
      <c r="O21" s="52" t="s">
        <v>257</v>
      </c>
      <c r="P21" s="53" t="s">
        <v>258</v>
      </c>
    </row>
    <row r="22" spans="1:16" ht="12.75" customHeight="1" thickBot="1" x14ac:dyDescent="0.25">
      <c r="A22" s="12" t="str">
        <f t="shared" si="0"/>
        <v>IBVS 5820 </v>
      </c>
      <c r="B22" s="4" t="str">
        <f t="shared" si="1"/>
        <v>I</v>
      </c>
      <c r="C22" s="12">
        <f t="shared" si="2"/>
        <v>54354.953999999998</v>
      </c>
      <c r="D22" s="11" t="str">
        <f t="shared" si="3"/>
        <v>vis</v>
      </c>
      <c r="E22" s="49">
        <f>VLOOKUP(C22,Active!C$21:E$969,3,FALSE)</f>
        <v>18460.58884665637</v>
      </c>
      <c r="F22" s="4" t="s">
        <v>68</v>
      </c>
      <c r="G22" s="11" t="str">
        <f t="shared" si="4"/>
        <v>54354.954</v>
      </c>
      <c r="H22" s="12">
        <f t="shared" si="5"/>
        <v>18456</v>
      </c>
      <c r="I22" s="50" t="s">
        <v>259</v>
      </c>
      <c r="J22" s="51" t="s">
        <v>260</v>
      </c>
      <c r="K22" s="50">
        <v>18456</v>
      </c>
      <c r="L22" s="50" t="s">
        <v>261</v>
      </c>
      <c r="M22" s="51" t="s">
        <v>247</v>
      </c>
      <c r="N22" s="51" t="s">
        <v>256</v>
      </c>
      <c r="O22" s="52" t="s">
        <v>237</v>
      </c>
      <c r="P22" s="53" t="s">
        <v>262</v>
      </c>
    </row>
    <row r="23" spans="1:16" ht="12.75" customHeight="1" thickBot="1" x14ac:dyDescent="0.25">
      <c r="A23" s="12" t="str">
        <f t="shared" si="0"/>
        <v>IBVS 5871 </v>
      </c>
      <c r="B23" s="4" t="str">
        <f t="shared" si="1"/>
        <v>I</v>
      </c>
      <c r="C23" s="12">
        <f t="shared" si="2"/>
        <v>54761.764499999997</v>
      </c>
      <c r="D23" s="11" t="str">
        <f t="shared" si="3"/>
        <v>vis</v>
      </c>
      <c r="E23" s="49">
        <f>VLOOKUP(C23,Active!C$21:E$969,3,FALSE)</f>
        <v>19064.595409193487</v>
      </c>
      <c r="F23" s="4" t="s">
        <v>68</v>
      </c>
      <c r="G23" s="11" t="str">
        <f t="shared" si="4"/>
        <v>54761.7645</v>
      </c>
      <c r="H23" s="12">
        <f t="shared" si="5"/>
        <v>19060</v>
      </c>
      <c r="I23" s="50" t="s">
        <v>268</v>
      </c>
      <c r="J23" s="51" t="s">
        <v>269</v>
      </c>
      <c r="K23" s="50">
        <v>19060</v>
      </c>
      <c r="L23" s="50" t="s">
        <v>270</v>
      </c>
      <c r="M23" s="51" t="s">
        <v>247</v>
      </c>
      <c r="N23" s="51" t="s">
        <v>68</v>
      </c>
      <c r="O23" s="52" t="s">
        <v>271</v>
      </c>
      <c r="P23" s="53" t="s">
        <v>272</v>
      </c>
    </row>
    <row r="24" spans="1:16" ht="12.75" customHeight="1" thickBot="1" x14ac:dyDescent="0.25">
      <c r="A24" s="12" t="str">
        <f t="shared" si="0"/>
        <v>OEJV 0160 </v>
      </c>
      <c r="B24" s="4" t="str">
        <f t="shared" si="1"/>
        <v>I</v>
      </c>
      <c r="C24" s="12">
        <f t="shared" si="2"/>
        <v>55829.292710000002</v>
      </c>
      <c r="D24" s="11" t="str">
        <f t="shared" si="3"/>
        <v>vis</v>
      </c>
      <c r="E24" s="49">
        <f>VLOOKUP(C24,Active!C$21:E$969,3,FALSE)</f>
        <v>20649.593939303959</v>
      </c>
      <c r="F24" s="4" t="s">
        <v>68</v>
      </c>
      <c r="G24" s="11" t="str">
        <f t="shared" si="4"/>
        <v>55829.29271</v>
      </c>
      <c r="H24" s="12">
        <f t="shared" si="5"/>
        <v>20645</v>
      </c>
      <c r="I24" s="50" t="s">
        <v>278</v>
      </c>
      <c r="J24" s="51" t="s">
        <v>279</v>
      </c>
      <c r="K24" s="50">
        <v>20645</v>
      </c>
      <c r="L24" s="50" t="s">
        <v>280</v>
      </c>
      <c r="M24" s="51" t="s">
        <v>247</v>
      </c>
      <c r="N24" s="51" t="s">
        <v>256</v>
      </c>
      <c r="O24" s="52" t="s">
        <v>276</v>
      </c>
      <c r="P24" s="53" t="s">
        <v>281</v>
      </c>
    </row>
    <row r="25" spans="1:16" ht="12.75" customHeight="1" thickBot="1" x14ac:dyDescent="0.25">
      <c r="A25" s="12" t="str">
        <f t="shared" si="0"/>
        <v>OEJV 0160 </v>
      </c>
      <c r="B25" s="4" t="str">
        <f t="shared" si="1"/>
        <v>II</v>
      </c>
      <c r="C25" s="12">
        <f t="shared" si="2"/>
        <v>55829.627849999997</v>
      </c>
      <c r="D25" s="11" t="str">
        <f t="shared" si="3"/>
        <v>vis</v>
      </c>
      <c r="E25" s="49">
        <f>VLOOKUP(C25,Active!C$21:E$969,3,FALSE)</f>
        <v>20650.091534030165</v>
      </c>
      <c r="F25" s="4" t="s">
        <v>68</v>
      </c>
      <c r="G25" s="11" t="str">
        <f t="shared" si="4"/>
        <v>55829.62785</v>
      </c>
      <c r="H25" s="12">
        <f t="shared" si="5"/>
        <v>20645.5</v>
      </c>
      <c r="I25" s="50" t="s">
        <v>282</v>
      </c>
      <c r="J25" s="51" t="s">
        <v>283</v>
      </c>
      <c r="K25" s="50">
        <v>20645.5</v>
      </c>
      <c r="L25" s="50" t="s">
        <v>284</v>
      </c>
      <c r="M25" s="51" t="s">
        <v>247</v>
      </c>
      <c r="N25" s="51" t="s">
        <v>256</v>
      </c>
      <c r="O25" s="52" t="s">
        <v>276</v>
      </c>
      <c r="P25" s="53" t="s">
        <v>281</v>
      </c>
    </row>
    <row r="26" spans="1:16" ht="12.75" customHeight="1" thickBot="1" x14ac:dyDescent="0.25">
      <c r="A26" s="12" t="str">
        <f t="shared" si="0"/>
        <v>OEJV 0160 </v>
      </c>
      <c r="B26" s="4" t="str">
        <f t="shared" si="1"/>
        <v>I</v>
      </c>
      <c r="C26" s="12">
        <f t="shared" si="2"/>
        <v>56252.267650000002</v>
      </c>
      <c r="D26" s="11" t="str">
        <f t="shared" si="3"/>
        <v>vis</v>
      </c>
      <c r="E26" s="49">
        <f>VLOOKUP(C26,Active!C$21:E$969,3,FALSE)</f>
        <v>21277.6004424516</v>
      </c>
      <c r="F26" s="4" t="s">
        <v>68</v>
      </c>
      <c r="G26" s="11" t="str">
        <f t="shared" si="4"/>
        <v>56252.26765</v>
      </c>
      <c r="H26" s="12">
        <f t="shared" si="5"/>
        <v>21273</v>
      </c>
      <c r="I26" s="50" t="s">
        <v>285</v>
      </c>
      <c r="J26" s="51" t="s">
        <v>286</v>
      </c>
      <c r="K26" s="50">
        <v>21273</v>
      </c>
      <c r="L26" s="50" t="s">
        <v>287</v>
      </c>
      <c r="M26" s="51" t="s">
        <v>247</v>
      </c>
      <c r="N26" s="51" t="s">
        <v>256</v>
      </c>
      <c r="O26" s="52" t="s">
        <v>276</v>
      </c>
      <c r="P26" s="53" t="s">
        <v>281</v>
      </c>
    </row>
    <row r="27" spans="1:16" ht="12.75" customHeight="1" thickBot="1" x14ac:dyDescent="0.25">
      <c r="A27" s="12" t="str">
        <f t="shared" si="0"/>
        <v>IBVS 6042 </v>
      </c>
      <c r="B27" s="4" t="str">
        <f t="shared" si="1"/>
        <v>I</v>
      </c>
      <c r="C27" s="12">
        <f t="shared" si="2"/>
        <v>56255.6322</v>
      </c>
      <c r="D27" s="11" t="str">
        <f t="shared" si="3"/>
        <v>vis</v>
      </c>
      <c r="E27" s="49">
        <f>VLOOKUP(C27,Active!C$21:E$969,3,FALSE)</f>
        <v>21282.59591400404</v>
      </c>
      <c r="F27" s="4" t="s">
        <v>68</v>
      </c>
      <c r="G27" s="11" t="str">
        <f t="shared" si="4"/>
        <v>56255.6322</v>
      </c>
      <c r="H27" s="12">
        <f t="shared" si="5"/>
        <v>21278</v>
      </c>
      <c r="I27" s="50" t="s">
        <v>288</v>
      </c>
      <c r="J27" s="51" t="s">
        <v>289</v>
      </c>
      <c r="K27" s="50">
        <v>21278</v>
      </c>
      <c r="L27" s="50" t="s">
        <v>290</v>
      </c>
      <c r="M27" s="51" t="s">
        <v>247</v>
      </c>
      <c r="N27" s="51" t="s">
        <v>68</v>
      </c>
      <c r="O27" s="52" t="s">
        <v>271</v>
      </c>
      <c r="P27" s="53" t="s">
        <v>291</v>
      </c>
    </row>
    <row r="28" spans="1:16" ht="12.75" customHeight="1" thickBot="1" x14ac:dyDescent="0.25">
      <c r="A28" s="12" t="str">
        <f t="shared" si="0"/>
        <v>BAVM 238 </v>
      </c>
      <c r="B28" s="4" t="str">
        <f t="shared" si="1"/>
        <v>II</v>
      </c>
      <c r="C28" s="12">
        <f t="shared" si="2"/>
        <v>56886.386200000001</v>
      </c>
      <c r="D28" s="11" t="str">
        <f t="shared" si="3"/>
        <v>vis</v>
      </c>
      <c r="E28" s="49">
        <f>VLOOKUP(C28,Active!C$21:E$969,3,FALSE)</f>
        <v>22219.099655541042</v>
      </c>
      <c r="F28" s="4" t="s">
        <v>68</v>
      </c>
      <c r="G28" s="11" t="str">
        <f t="shared" si="4"/>
        <v>56886.3862</v>
      </c>
      <c r="H28" s="12">
        <f t="shared" si="5"/>
        <v>22214.5</v>
      </c>
      <c r="I28" s="50" t="s">
        <v>292</v>
      </c>
      <c r="J28" s="51" t="s">
        <v>293</v>
      </c>
      <c r="K28" s="50">
        <v>22214.5</v>
      </c>
      <c r="L28" s="50" t="s">
        <v>294</v>
      </c>
      <c r="M28" s="51" t="s">
        <v>247</v>
      </c>
      <c r="N28" s="51" t="s">
        <v>295</v>
      </c>
      <c r="O28" s="52" t="s">
        <v>195</v>
      </c>
      <c r="P28" s="53" t="s">
        <v>296</v>
      </c>
    </row>
    <row r="29" spans="1:16" ht="12.75" customHeight="1" thickBot="1" x14ac:dyDescent="0.25">
      <c r="A29" s="12" t="str">
        <f t="shared" si="0"/>
        <v> MVS 11.25 </v>
      </c>
      <c r="B29" s="4" t="str">
        <f t="shared" si="1"/>
        <v>I</v>
      </c>
      <c r="C29" s="12">
        <f t="shared" si="2"/>
        <v>36394.42</v>
      </c>
      <c r="D29" s="11" t="str">
        <f t="shared" si="3"/>
        <v>vis</v>
      </c>
      <c r="E29" s="49">
        <f>VLOOKUP(C29,Active!C$21:E$969,3,FALSE)</f>
        <v>-8206.0788098348985</v>
      </c>
      <c r="F29" s="4" t="s">
        <v>68</v>
      </c>
      <c r="G29" s="11" t="str">
        <f t="shared" si="4"/>
        <v>36394.420</v>
      </c>
      <c r="H29" s="12">
        <f t="shared" si="5"/>
        <v>-8206</v>
      </c>
      <c r="I29" s="50" t="s">
        <v>71</v>
      </c>
      <c r="J29" s="51" t="s">
        <v>72</v>
      </c>
      <c r="K29" s="50">
        <v>-8206</v>
      </c>
      <c r="L29" s="50" t="s">
        <v>73</v>
      </c>
      <c r="M29" s="51" t="s">
        <v>74</v>
      </c>
      <c r="N29" s="51"/>
      <c r="O29" s="52" t="s">
        <v>75</v>
      </c>
      <c r="P29" s="52" t="s">
        <v>76</v>
      </c>
    </row>
    <row r="30" spans="1:16" ht="12.75" customHeight="1" thickBot="1" x14ac:dyDescent="0.25">
      <c r="A30" s="12" t="str">
        <f t="shared" si="0"/>
        <v> MVS 11.25 </v>
      </c>
      <c r="B30" s="4" t="str">
        <f t="shared" si="1"/>
        <v>I</v>
      </c>
      <c r="C30" s="12">
        <f t="shared" si="2"/>
        <v>36605.264999999999</v>
      </c>
      <c r="D30" s="11" t="str">
        <f t="shared" si="3"/>
        <v>vis</v>
      </c>
      <c r="E30" s="49">
        <f>VLOOKUP(C30,Active!C$21:E$969,3,FALSE)</f>
        <v>-7893.0294571801869</v>
      </c>
      <c r="F30" s="4" t="s">
        <v>68</v>
      </c>
      <c r="G30" s="11" t="str">
        <f t="shared" si="4"/>
        <v>36605.265</v>
      </c>
      <c r="H30" s="12">
        <f t="shared" si="5"/>
        <v>-7893</v>
      </c>
      <c r="I30" s="50" t="s">
        <v>77</v>
      </c>
      <c r="J30" s="51" t="s">
        <v>78</v>
      </c>
      <c r="K30" s="50">
        <v>-7893</v>
      </c>
      <c r="L30" s="50" t="s">
        <v>79</v>
      </c>
      <c r="M30" s="51" t="s">
        <v>74</v>
      </c>
      <c r="N30" s="51"/>
      <c r="O30" s="52" t="s">
        <v>75</v>
      </c>
      <c r="P30" s="52" t="s">
        <v>76</v>
      </c>
    </row>
    <row r="31" spans="1:16" ht="12.75" customHeight="1" thickBot="1" x14ac:dyDescent="0.25">
      <c r="A31" s="12" t="str">
        <f t="shared" si="0"/>
        <v> MVS 11.25 </v>
      </c>
      <c r="B31" s="4" t="str">
        <f t="shared" si="1"/>
        <v>I</v>
      </c>
      <c r="C31" s="12">
        <f t="shared" si="2"/>
        <v>37025.5</v>
      </c>
      <c r="D31" s="11" t="str">
        <f t="shared" si="3"/>
        <v>vis</v>
      </c>
      <c r="E31" s="49">
        <f>VLOOKUP(C31,Active!C$21:E$969,3,FALSE)</f>
        <v>-7269.0910440669904</v>
      </c>
      <c r="F31" s="4" t="s">
        <v>68</v>
      </c>
      <c r="G31" s="11" t="str">
        <f t="shared" si="4"/>
        <v>37025.500</v>
      </c>
      <c r="H31" s="12">
        <f t="shared" si="5"/>
        <v>-7269</v>
      </c>
      <c r="I31" s="50" t="s">
        <v>80</v>
      </c>
      <c r="J31" s="51" t="s">
        <v>81</v>
      </c>
      <c r="K31" s="50">
        <v>-7269</v>
      </c>
      <c r="L31" s="50" t="s">
        <v>82</v>
      </c>
      <c r="M31" s="51" t="s">
        <v>74</v>
      </c>
      <c r="N31" s="51"/>
      <c r="O31" s="52" t="s">
        <v>75</v>
      </c>
      <c r="P31" s="52" t="s">
        <v>76</v>
      </c>
    </row>
    <row r="32" spans="1:16" ht="12.75" customHeight="1" thickBot="1" x14ac:dyDescent="0.25">
      <c r="A32" s="12" t="str">
        <f t="shared" si="0"/>
        <v> MVS 11.25 </v>
      </c>
      <c r="B32" s="4" t="str">
        <f t="shared" si="1"/>
        <v>I</v>
      </c>
      <c r="C32" s="12">
        <f t="shared" si="2"/>
        <v>37349.493999999999</v>
      </c>
      <c r="D32" s="11" t="str">
        <f t="shared" si="3"/>
        <v>vis</v>
      </c>
      <c r="E32" s="49">
        <f>VLOOKUP(C32,Active!C$21:E$969,3,FALSE)</f>
        <v>-6788.0451953913771</v>
      </c>
      <c r="F32" s="4" t="s">
        <v>68</v>
      </c>
      <c r="G32" s="11" t="str">
        <f t="shared" si="4"/>
        <v>37349.494</v>
      </c>
      <c r="H32" s="12">
        <f t="shared" si="5"/>
        <v>-6788</v>
      </c>
      <c r="I32" s="50" t="s">
        <v>83</v>
      </c>
      <c r="J32" s="51" t="s">
        <v>84</v>
      </c>
      <c r="K32" s="50">
        <v>-6788</v>
      </c>
      <c r="L32" s="50" t="s">
        <v>85</v>
      </c>
      <c r="M32" s="51" t="s">
        <v>74</v>
      </c>
      <c r="N32" s="51"/>
      <c r="O32" s="52" t="s">
        <v>75</v>
      </c>
      <c r="P32" s="52" t="s">
        <v>76</v>
      </c>
    </row>
    <row r="33" spans="1:16" ht="12.75" customHeight="1" thickBot="1" x14ac:dyDescent="0.25">
      <c r="A33" s="12" t="str">
        <f t="shared" si="0"/>
        <v> MVS 11.25 </v>
      </c>
      <c r="B33" s="4" t="str">
        <f t="shared" si="1"/>
        <v>I</v>
      </c>
      <c r="C33" s="12">
        <f t="shared" si="2"/>
        <v>37576.468999999997</v>
      </c>
      <c r="D33" s="11" t="str">
        <f t="shared" si="3"/>
        <v>vis</v>
      </c>
      <c r="E33" s="49">
        <f>VLOOKUP(C33,Active!C$21:E$969,3,FALSE)</f>
        <v>-6451.047036465141</v>
      </c>
      <c r="F33" s="4" t="s">
        <v>68</v>
      </c>
      <c r="G33" s="11" t="str">
        <f t="shared" si="4"/>
        <v>37576.469</v>
      </c>
      <c r="H33" s="12">
        <f t="shared" si="5"/>
        <v>-6451</v>
      </c>
      <c r="I33" s="50" t="s">
        <v>86</v>
      </c>
      <c r="J33" s="51" t="s">
        <v>87</v>
      </c>
      <c r="K33" s="50">
        <v>-6451</v>
      </c>
      <c r="L33" s="50" t="s">
        <v>88</v>
      </c>
      <c r="M33" s="51" t="s">
        <v>74</v>
      </c>
      <c r="N33" s="51"/>
      <c r="O33" s="52" t="s">
        <v>75</v>
      </c>
      <c r="P33" s="52" t="s">
        <v>76</v>
      </c>
    </row>
    <row r="34" spans="1:16" ht="12.75" customHeight="1" thickBot="1" x14ac:dyDescent="0.25">
      <c r="A34" s="12" t="str">
        <f t="shared" si="0"/>
        <v> MVS 11.25 </v>
      </c>
      <c r="B34" s="4" t="str">
        <f t="shared" si="1"/>
        <v>I</v>
      </c>
      <c r="C34" s="12">
        <f t="shared" si="2"/>
        <v>38001.423000000003</v>
      </c>
      <c r="D34" s="11" t="str">
        <f t="shared" si="3"/>
        <v>vis</v>
      </c>
      <c r="E34" s="49">
        <f>VLOOKUP(C34,Active!C$21:E$969,3,FALSE)</f>
        <v>-5820.1021498990331</v>
      </c>
      <c r="F34" s="4" t="s">
        <v>68</v>
      </c>
      <c r="G34" s="11" t="str">
        <f t="shared" si="4"/>
        <v>38001.423</v>
      </c>
      <c r="H34" s="12">
        <f t="shared" si="5"/>
        <v>-5820</v>
      </c>
      <c r="I34" s="50" t="s">
        <v>89</v>
      </c>
      <c r="J34" s="51" t="s">
        <v>90</v>
      </c>
      <c r="K34" s="50">
        <v>-5820</v>
      </c>
      <c r="L34" s="50" t="s">
        <v>91</v>
      </c>
      <c r="M34" s="51" t="s">
        <v>74</v>
      </c>
      <c r="N34" s="51"/>
      <c r="O34" s="52" t="s">
        <v>75</v>
      </c>
      <c r="P34" s="52" t="s">
        <v>76</v>
      </c>
    </row>
    <row r="35" spans="1:16" ht="12.75" customHeight="1" thickBot="1" x14ac:dyDescent="0.25">
      <c r="A35" s="12" t="str">
        <f t="shared" si="0"/>
        <v> MVS 11.25 </v>
      </c>
      <c r="B35" s="4" t="str">
        <f t="shared" si="1"/>
        <v>I</v>
      </c>
      <c r="C35" s="12">
        <f t="shared" si="2"/>
        <v>38045.254000000001</v>
      </c>
      <c r="D35" s="11" t="str">
        <f t="shared" si="3"/>
        <v>vis</v>
      </c>
      <c r="E35" s="49">
        <f>VLOOKUP(C35,Active!C$21:E$969,3,FALSE)</f>
        <v>-5755.0246466326143</v>
      </c>
      <c r="F35" s="4" t="s">
        <v>68</v>
      </c>
      <c r="G35" s="11" t="str">
        <f t="shared" si="4"/>
        <v>38045.254</v>
      </c>
      <c r="H35" s="12">
        <f t="shared" si="5"/>
        <v>-5755</v>
      </c>
      <c r="I35" s="50" t="s">
        <v>92</v>
      </c>
      <c r="J35" s="51" t="s">
        <v>93</v>
      </c>
      <c r="K35" s="50">
        <v>-5755</v>
      </c>
      <c r="L35" s="50" t="s">
        <v>94</v>
      </c>
      <c r="M35" s="51" t="s">
        <v>74</v>
      </c>
      <c r="N35" s="51"/>
      <c r="O35" s="52" t="s">
        <v>75</v>
      </c>
      <c r="P35" s="52" t="s">
        <v>76</v>
      </c>
    </row>
    <row r="36" spans="1:16" ht="12.75" customHeight="1" thickBot="1" x14ac:dyDescent="0.25">
      <c r="A36" s="12" t="str">
        <f t="shared" si="0"/>
        <v> MVS 11.25 </v>
      </c>
      <c r="B36" s="4" t="str">
        <f t="shared" si="1"/>
        <v>I</v>
      </c>
      <c r="C36" s="12">
        <f t="shared" si="2"/>
        <v>38049.283000000003</v>
      </c>
      <c r="D36" s="11" t="str">
        <f t="shared" si="3"/>
        <v>vis</v>
      </c>
      <c r="E36" s="49">
        <f>VLOOKUP(C36,Active!C$21:E$969,3,FALSE)</f>
        <v>-5749.042641643895</v>
      </c>
      <c r="F36" s="4" t="s">
        <v>68</v>
      </c>
      <c r="G36" s="11" t="str">
        <f t="shared" si="4"/>
        <v>38049.283</v>
      </c>
      <c r="H36" s="12">
        <f t="shared" si="5"/>
        <v>-5749</v>
      </c>
      <c r="I36" s="50" t="s">
        <v>95</v>
      </c>
      <c r="J36" s="51" t="s">
        <v>96</v>
      </c>
      <c r="K36" s="50">
        <v>-5749</v>
      </c>
      <c r="L36" s="50" t="s">
        <v>97</v>
      </c>
      <c r="M36" s="51" t="s">
        <v>74</v>
      </c>
      <c r="N36" s="51"/>
      <c r="O36" s="52" t="s">
        <v>75</v>
      </c>
      <c r="P36" s="52" t="s">
        <v>76</v>
      </c>
    </row>
    <row r="37" spans="1:16" ht="12.75" customHeight="1" thickBot="1" x14ac:dyDescent="0.25">
      <c r="A37" s="12" t="str">
        <f t="shared" si="0"/>
        <v> MVS 11.25 </v>
      </c>
      <c r="B37" s="4" t="str">
        <f t="shared" si="1"/>
        <v>I</v>
      </c>
      <c r="C37" s="12">
        <f t="shared" si="2"/>
        <v>38086.288</v>
      </c>
      <c r="D37" s="11" t="str">
        <f t="shared" si="3"/>
        <v>vis</v>
      </c>
      <c r="E37" s="49">
        <f>VLOOKUP(C37,Active!C$21:E$969,3,FALSE)</f>
        <v>-5694.0999524884173</v>
      </c>
      <c r="F37" s="4" t="s">
        <v>68</v>
      </c>
      <c r="G37" s="11" t="str">
        <f t="shared" si="4"/>
        <v>38086.288</v>
      </c>
      <c r="H37" s="12">
        <f t="shared" si="5"/>
        <v>-5694</v>
      </c>
      <c r="I37" s="50" t="s">
        <v>98</v>
      </c>
      <c r="J37" s="51" t="s">
        <v>99</v>
      </c>
      <c r="K37" s="50">
        <v>-5694</v>
      </c>
      <c r="L37" s="50" t="s">
        <v>100</v>
      </c>
      <c r="M37" s="51" t="s">
        <v>74</v>
      </c>
      <c r="N37" s="51"/>
      <c r="O37" s="52" t="s">
        <v>75</v>
      </c>
      <c r="P37" s="52" t="s">
        <v>76</v>
      </c>
    </row>
    <row r="38" spans="1:16" ht="12.75" customHeight="1" thickBot="1" x14ac:dyDescent="0.25">
      <c r="A38" s="12" t="str">
        <f t="shared" si="0"/>
        <v> MVS 11.25 </v>
      </c>
      <c r="B38" s="4" t="str">
        <f t="shared" si="1"/>
        <v>I</v>
      </c>
      <c r="C38" s="12">
        <f t="shared" si="2"/>
        <v>38238.534</v>
      </c>
      <c r="D38" s="11" t="str">
        <f t="shared" si="3"/>
        <v>vis</v>
      </c>
      <c r="E38" s="49">
        <f>VLOOKUP(C38,Active!C$21:E$969,3,FALSE)</f>
        <v>-5468.0546977075655</v>
      </c>
      <c r="F38" s="4" t="s">
        <v>68</v>
      </c>
      <c r="G38" s="11" t="str">
        <f t="shared" si="4"/>
        <v>38238.534</v>
      </c>
      <c r="H38" s="12">
        <f t="shared" si="5"/>
        <v>-5468</v>
      </c>
      <c r="I38" s="50" t="s">
        <v>101</v>
      </c>
      <c r="J38" s="51" t="s">
        <v>102</v>
      </c>
      <c r="K38" s="50">
        <v>-5468</v>
      </c>
      <c r="L38" s="50" t="s">
        <v>103</v>
      </c>
      <c r="M38" s="51" t="s">
        <v>74</v>
      </c>
      <c r="N38" s="51"/>
      <c r="O38" s="52" t="s">
        <v>75</v>
      </c>
      <c r="P38" s="52" t="s">
        <v>76</v>
      </c>
    </row>
    <row r="39" spans="1:16" ht="12.75" customHeight="1" thickBot="1" x14ac:dyDescent="0.25">
      <c r="A39" s="12" t="str">
        <f t="shared" si="0"/>
        <v> MVS 11.25 </v>
      </c>
      <c r="B39" s="4" t="str">
        <f t="shared" si="1"/>
        <v>I</v>
      </c>
      <c r="C39" s="12">
        <f t="shared" si="2"/>
        <v>38240.555</v>
      </c>
      <c r="D39" s="11" t="str">
        <f t="shared" si="3"/>
        <v>vis</v>
      </c>
      <c r="E39" s="49">
        <f>VLOOKUP(C39,Active!C$21:E$969,3,FALSE)</f>
        <v>-5465.0540444233266</v>
      </c>
      <c r="F39" s="4" t="s">
        <v>68</v>
      </c>
      <c r="G39" s="11" t="str">
        <f t="shared" si="4"/>
        <v>38240.555</v>
      </c>
      <c r="H39" s="12">
        <f t="shared" si="5"/>
        <v>-5465</v>
      </c>
      <c r="I39" s="50" t="s">
        <v>104</v>
      </c>
      <c r="J39" s="51" t="s">
        <v>105</v>
      </c>
      <c r="K39" s="50">
        <v>-5465</v>
      </c>
      <c r="L39" s="50" t="s">
        <v>106</v>
      </c>
      <c r="M39" s="51" t="s">
        <v>74</v>
      </c>
      <c r="N39" s="51"/>
      <c r="O39" s="52" t="s">
        <v>75</v>
      </c>
      <c r="P39" s="52" t="s">
        <v>76</v>
      </c>
    </row>
    <row r="40" spans="1:16" ht="12.75" customHeight="1" thickBot="1" x14ac:dyDescent="0.25">
      <c r="A40" s="12" t="str">
        <f t="shared" si="0"/>
        <v> MVS 11.25 </v>
      </c>
      <c r="B40" s="4" t="str">
        <f t="shared" si="1"/>
        <v>I</v>
      </c>
      <c r="C40" s="12">
        <f t="shared" si="2"/>
        <v>38300.491999999998</v>
      </c>
      <c r="D40" s="11" t="str">
        <f t="shared" si="3"/>
        <v>vis</v>
      </c>
      <c r="E40" s="49">
        <f>VLOOKUP(C40,Active!C$21:E$969,3,FALSE)</f>
        <v>-5376.06336857109</v>
      </c>
      <c r="F40" s="4" t="s">
        <v>68</v>
      </c>
      <c r="G40" s="11" t="str">
        <f t="shared" si="4"/>
        <v>38300.492</v>
      </c>
      <c r="H40" s="12">
        <f t="shared" si="5"/>
        <v>-5376</v>
      </c>
      <c r="I40" s="50" t="s">
        <v>107</v>
      </c>
      <c r="J40" s="51" t="s">
        <v>108</v>
      </c>
      <c r="K40" s="50">
        <v>-5376</v>
      </c>
      <c r="L40" s="50" t="s">
        <v>109</v>
      </c>
      <c r="M40" s="51" t="s">
        <v>74</v>
      </c>
      <c r="N40" s="51"/>
      <c r="O40" s="52" t="s">
        <v>75</v>
      </c>
      <c r="P40" s="52" t="s">
        <v>76</v>
      </c>
    </row>
    <row r="41" spans="1:16" ht="12.75" customHeight="1" thickBot="1" x14ac:dyDescent="0.25">
      <c r="A41" s="12" t="str">
        <f t="shared" si="0"/>
        <v> MVS 11.25 </v>
      </c>
      <c r="B41" s="4" t="str">
        <f t="shared" si="1"/>
        <v>I</v>
      </c>
      <c r="C41" s="12">
        <f t="shared" si="2"/>
        <v>39026.557999999997</v>
      </c>
      <c r="D41" s="11" t="str">
        <f t="shared" si="3"/>
        <v>vis</v>
      </c>
      <c r="E41" s="49">
        <f>VLOOKUP(C41,Active!C$21:E$969,3,FALSE)</f>
        <v>-4298.0463831809029</v>
      </c>
      <c r="F41" s="4" t="s">
        <v>68</v>
      </c>
      <c r="G41" s="11" t="str">
        <f t="shared" si="4"/>
        <v>39026.558</v>
      </c>
      <c r="H41" s="12">
        <f t="shared" si="5"/>
        <v>-4298</v>
      </c>
      <c r="I41" s="50" t="s">
        <v>110</v>
      </c>
      <c r="J41" s="51" t="s">
        <v>111</v>
      </c>
      <c r="K41" s="50">
        <v>-4298</v>
      </c>
      <c r="L41" s="50" t="s">
        <v>112</v>
      </c>
      <c r="M41" s="51" t="s">
        <v>74</v>
      </c>
      <c r="N41" s="51"/>
      <c r="O41" s="52" t="s">
        <v>75</v>
      </c>
      <c r="P41" s="52" t="s">
        <v>76</v>
      </c>
    </row>
    <row r="42" spans="1:16" ht="12.75" customHeight="1" thickBot="1" x14ac:dyDescent="0.25">
      <c r="A42" s="12" t="str">
        <f t="shared" si="0"/>
        <v> MVS 11.25 </v>
      </c>
      <c r="B42" s="4" t="str">
        <f t="shared" si="1"/>
        <v>I</v>
      </c>
      <c r="C42" s="12">
        <f t="shared" si="2"/>
        <v>39352.525000000001</v>
      </c>
      <c r="D42" s="11" t="str">
        <f t="shared" si="3"/>
        <v>vis</v>
      </c>
      <c r="E42" s="49">
        <f>VLOOKUP(C42,Active!C$21:E$969,3,FALSE)</f>
        <v>-3814.0711485924662</v>
      </c>
      <c r="F42" s="4" t="s">
        <v>68</v>
      </c>
      <c r="G42" s="11" t="str">
        <f t="shared" si="4"/>
        <v>39352.525</v>
      </c>
      <c r="H42" s="12">
        <f t="shared" si="5"/>
        <v>-3814</v>
      </c>
      <c r="I42" s="50" t="s">
        <v>113</v>
      </c>
      <c r="J42" s="51" t="s">
        <v>114</v>
      </c>
      <c r="K42" s="50">
        <v>-3814</v>
      </c>
      <c r="L42" s="50" t="s">
        <v>115</v>
      </c>
      <c r="M42" s="51" t="s">
        <v>74</v>
      </c>
      <c r="N42" s="51"/>
      <c r="O42" s="52" t="s">
        <v>75</v>
      </c>
      <c r="P42" s="52" t="s">
        <v>76</v>
      </c>
    </row>
    <row r="43" spans="1:16" ht="12.75" customHeight="1" thickBot="1" x14ac:dyDescent="0.25">
      <c r="A43" s="12" t="str">
        <f t="shared" ref="A43:A71" si="6">P43</f>
        <v> MVS 11.25 </v>
      </c>
      <c r="B43" s="4" t="str">
        <f t="shared" ref="B43:B71" si="7">IF(H43=INT(H43),"I","II")</f>
        <v>I</v>
      </c>
      <c r="C43" s="12">
        <f t="shared" ref="C43:C71" si="8">1*G43</f>
        <v>39381.500999999997</v>
      </c>
      <c r="D43" s="11" t="str">
        <f t="shared" ref="D43:D71" si="9">VLOOKUP(F43,I$1:J$5,2,FALSE)</f>
        <v>vis</v>
      </c>
      <c r="E43" s="49">
        <f>VLOOKUP(C43,Active!C$21:E$969,3,FALSE)</f>
        <v>-3771.0494120441895</v>
      </c>
      <c r="F43" s="4" t="s">
        <v>68</v>
      </c>
      <c r="G43" s="11" t="str">
        <f t="shared" ref="G43:G71" si="10">MID(I43,3,LEN(I43)-3)</f>
        <v>39381.501</v>
      </c>
      <c r="H43" s="12">
        <f t="shared" ref="H43:H71" si="11">1*K43</f>
        <v>-3771</v>
      </c>
      <c r="I43" s="50" t="s">
        <v>116</v>
      </c>
      <c r="J43" s="51" t="s">
        <v>117</v>
      </c>
      <c r="K43" s="50">
        <v>-3771</v>
      </c>
      <c r="L43" s="50" t="s">
        <v>118</v>
      </c>
      <c r="M43" s="51" t="s">
        <v>74</v>
      </c>
      <c r="N43" s="51"/>
      <c r="O43" s="52" t="s">
        <v>75</v>
      </c>
      <c r="P43" s="52" t="s">
        <v>76</v>
      </c>
    </row>
    <row r="44" spans="1:16" ht="12.75" customHeight="1" thickBot="1" x14ac:dyDescent="0.25">
      <c r="A44" s="12" t="str">
        <f t="shared" si="6"/>
        <v> MVS 11.25 </v>
      </c>
      <c r="B44" s="4" t="str">
        <f t="shared" si="7"/>
        <v>I</v>
      </c>
      <c r="C44" s="12">
        <f t="shared" si="8"/>
        <v>39387.595000000001</v>
      </c>
      <c r="D44" s="11" t="str">
        <f t="shared" si="9"/>
        <v>vis</v>
      </c>
      <c r="E44" s="49">
        <f>VLOOKUP(C44,Active!C$21:E$969,3,FALSE)</f>
        <v>-3762.0014253474255</v>
      </c>
      <c r="F44" s="4" t="s">
        <v>68</v>
      </c>
      <c r="G44" s="11" t="str">
        <f t="shared" si="10"/>
        <v>39387.595</v>
      </c>
      <c r="H44" s="12">
        <f t="shared" si="11"/>
        <v>-3762</v>
      </c>
      <c r="I44" s="50" t="s">
        <v>119</v>
      </c>
      <c r="J44" s="51" t="s">
        <v>120</v>
      </c>
      <c r="K44" s="50">
        <v>-3762</v>
      </c>
      <c r="L44" s="50" t="s">
        <v>121</v>
      </c>
      <c r="M44" s="51" t="s">
        <v>74</v>
      </c>
      <c r="N44" s="51"/>
      <c r="O44" s="52" t="s">
        <v>75</v>
      </c>
      <c r="P44" s="52" t="s">
        <v>76</v>
      </c>
    </row>
    <row r="45" spans="1:16" ht="12.75" customHeight="1" thickBot="1" x14ac:dyDescent="0.25">
      <c r="A45" s="12" t="str">
        <f t="shared" si="6"/>
        <v> MVS 11.25 </v>
      </c>
      <c r="B45" s="4" t="str">
        <f t="shared" si="7"/>
        <v>I</v>
      </c>
      <c r="C45" s="12">
        <f t="shared" si="8"/>
        <v>39441.463000000003</v>
      </c>
      <c r="D45" s="11" t="str">
        <f t="shared" si="9"/>
        <v>vis</v>
      </c>
      <c r="E45" s="49">
        <f>VLOOKUP(C45,Active!C$21:E$969,3,FALSE)</f>
        <v>-3682.0216177693251</v>
      </c>
      <c r="F45" s="4" t="s">
        <v>68</v>
      </c>
      <c r="G45" s="11" t="str">
        <f t="shared" si="10"/>
        <v>39441.463</v>
      </c>
      <c r="H45" s="12">
        <f t="shared" si="11"/>
        <v>-3682</v>
      </c>
      <c r="I45" s="50" t="s">
        <v>122</v>
      </c>
      <c r="J45" s="51" t="s">
        <v>123</v>
      </c>
      <c r="K45" s="50">
        <v>-3682</v>
      </c>
      <c r="L45" s="50" t="s">
        <v>124</v>
      </c>
      <c r="M45" s="51" t="s">
        <v>74</v>
      </c>
      <c r="N45" s="51"/>
      <c r="O45" s="52" t="s">
        <v>75</v>
      </c>
      <c r="P45" s="52" t="s">
        <v>76</v>
      </c>
    </row>
    <row r="46" spans="1:16" ht="12.75" customHeight="1" thickBot="1" x14ac:dyDescent="0.25">
      <c r="A46" s="12" t="str">
        <f t="shared" si="6"/>
        <v> MVS 11.25 </v>
      </c>
      <c r="B46" s="4" t="str">
        <f t="shared" si="7"/>
        <v>II</v>
      </c>
      <c r="C46" s="12">
        <f t="shared" si="8"/>
        <v>39508.447</v>
      </c>
      <c r="D46" s="11" t="str">
        <f t="shared" si="9"/>
        <v>vis</v>
      </c>
      <c r="E46" s="49">
        <f>VLOOKUP(C46,Active!C$21:E$969,3,FALSE)</f>
        <v>-3582.5680009502303</v>
      </c>
      <c r="F46" s="4" t="s">
        <v>68</v>
      </c>
      <c r="G46" s="11" t="str">
        <f t="shared" si="10"/>
        <v>39508.447</v>
      </c>
      <c r="H46" s="12">
        <f t="shared" si="11"/>
        <v>-3582.5</v>
      </c>
      <c r="I46" s="50" t="s">
        <v>125</v>
      </c>
      <c r="J46" s="51" t="s">
        <v>126</v>
      </c>
      <c r="K46" s="50">
        <v>-3582.5</v>
      </c>
      <c r="L46" s="50" t="s">
        <v>127</v>
      </c>
      <c r="M46" s="51" t="s">
        <v>74</v>
      </c>
      <c r="N46" s="51"/>
      <c r="O46" s="52" t="s">
        <v>75</v>
      </c>
      <c r="P46" s="52" t="s">
        <v>76</v>
      </c>
    </row>
    <row r="47" spans="1:16" ht="12.75" customHeight="1" thickBot="1" x14ac:dyDescent="0.25">
      <c r="A47" s="12" t="str">
        <f t="shared" si="6"/>
        <v> MVS 11.25 </v>
      </c>
      <c r="B47" s="4" t="str">
        <f t="shared" si="7"/>
        <v>I</v>
      </c>
      <c r="C47" s="12">
        <f t="shared" si="8"/>
        <v>39592.322</v>
      </c>
      <c r="D47" s="11" t="str">
        <f t="shared" si="9"/>
        <v>vis</v>
      </c>
      <c r="E47" s="49">
        <f>VLOOKUP(C47,Active!C$21:E$969,3,FALSE)</f>
        <v>-3458.0356930751855</v>
      </c>
      <c r="F47" s="4" t="s">
        <v>68</v>
      </c>
      <c r="G47" s="11" t="str">
        <f t="shared" si="10"/>
        <v>39592.322</v>
      </c>
      <c r="H47" s="12">
        <f t="shared" si="11"/>
        <v>-3458</v>
      </c>
      <c r="I47" s="50" t="s">
        <v>128</v>
      </c>
      <c r="J47" s="51" t="s">
        <v>129</v>
      </c>
      <c r="K47" s="50">
        <v>-3458</v>
      </c>
      <c r="L47" s="50" t="s">
        <v>130</v>
      </c>
      <c r="M47" s="51" t="s">
        <v>74</v>
      </c>
      <c r="N47" s="51"/>
      <c r="O47" s="52" t="s">
        <v>75</v>
      </c>
      <c r="P47" s="52" t="s">
        <v>76</v>
      </c>
    </row>
    <row r="48" spans="1:16" ht="12.75" customHeight="1" thickBot="1" x14ac:dyDescent="0.25">
      <c r="A48" s="12" t="str">
        <f t="shared" si="6"/>
        <v> MVS 11.25 </v>
      </c>
      <c r="B48" s="4" t="str">
        <f t="shared" si="7"/>
        <v>I</v>
      </c>
      <c r="C48" s="12">
        <f t="shared" si="8"/>
        <v>39678.506999999998</v>
      </c>
      <c r="D48" s="11" t="str">
        <f t="shared" si="9"/>
        <v>vis</v>
      </c>
      <c r="E48" s="49">
        <f>VLOOKUP(C48,Active!C$21:E$969,3,FALSE)</f>
        <v>-3330.0736429504714</v>
      </c>
      <c r="F48" s="4" t="s">
        <v>68</v>
      </c>
      <c r="G48" s="11" t="str">
        <f t="shared" si="10"/>
        <v>39678.507</v>
      </c>
      <c r="H48" s="12">
        <f t="shared" si="11"/>
        <v>-3330</v>
      </c>
      <c r="I48" s="50" t="s">
        <v>131</v>
      </c>
      <c r="J48" s="51" t="s">
        <v>132</v>
      </c>
      <c r="K48" s="50">
        <v>-3330</v>
      </c>
      <c r="L48" s="50" t="s">
        <v>133</v>
      </c>
      <c r="M48" s="51" t="s">
        <v>74</v>
      </c>
      <c r="N48" s="51"/>
      <c r="O48" s="52" t="s">
        <v>75</v>
      </c>
      <c r="P48" s="52" t="s">
        <v>76</v>
      </c>
    </row>
    <row r="49" spans="1:16" ht="12.75" customHeight="1" thickBot="1" x14ac:dyDescent="0.25">
      <c r="A49" s="12" t="str">
        <f t="shared" si="6"/>
        <v> MVS 11.25 </v>
      </c>
      <c r="B49" s="4" t="str">
        <f t="shared" si="7"/>
        <v>I</v>
      </c>
      <c r="C49" s="12">
        <f t="shared" si="8"/>
        <v>39711.499000000003</v>
      </c>
      <c r="D49" s="11" t="str">
        <f t="shared" si="9"/>
        <v>vis</v>
      </c>
      <c r="E49" s="49">
        <f>VLOOKUP(C49,Active!C$21:E$969,3,FALSE)</f>
        <v>-3281.0892029932234</v>
      </c>
      <c r="F49" s="4" t="s">
        <v>68</v>
      </c>
      <c r="G49" s="11" t="str">
        <f t="shared" si="10"/>
        <v>39711.499</v>
      </c>
      <c r="H49" s="12">
        <f t="shared" si="11"/>
        <v>-3281</v>
      </c>
      <c r="I49" s="50" t="s">
        <v>134</v>
      </c>
      <c r="J49" s="51" t="s">
        <v>135</v>
      </c>
      <c r="K49" s="50">
        <v>-3281</v>
      </c>
      <c r="L49" s="50" t="s">
        <v>136</v>
      </c>
      <c r="M49" s="51" t="s">
        <v>74</v>
      </c>
      <c r="N49" s="51"/>
      <c r="O49" s="52" t="s">
        <v>75</v>
      </c>
      <c r="P49" s="52" t="s">
        <v>76</v>
      </c>
    </row>
    <row r="50" spans="1:16" ht="12.75" customHeight="1" thickBot="1" x14ac:dyDescent="0.25">
      <c r="A50" s="12" t="str">
        <f t="shared" si="6"/>
        <v> MVS 11.25 </v>
      </c>
      <c r="B50" s="4" t="str">
        <f t="shared" si="7"/>
        <v>I</v>
      </c>
      <c r="C50" s="12">
        <f t="shared" si="8"/>
        <v>40068.542000000001</v>
      </c>
      <c r="D50" s="11" t="str">
        <f t="shared" si="9"/>
        <v>vis</v>
      </c>
      <c r="E50" s="49">
        <f>VLOOKUP(C50,Active!C$21:E$969,3,FALSE)</f>
        <v>-2750.9742843568088</v>
      </c>
      <c r="F50" s="4" t="s">
        <v>68</v>
      </c>
      <c r="G50" s="11" t="str">
        <f t="shared" si="10"/>
        <v>40068.542</v>
      </c>
      <c r="H50" s="12">
        <f t="shared" si="11"/>
        <v>-2751</v>
      </c>
      <c r="I50" s="50" t="s">
        <v>137</v>
      </c>
      <c r="J50" s="51" t="s">
        <v>138</v>
      </c>
      <c r="K50" s="50">
        <v>-2751</v>
      </c>
      <c r="L50" s="50" t="s">
        <v>139</v>
      </c>
      <c r="M50" s="51" t="s">
        <v>74</v>
      </c>
      <c r="N50" s="51"/>
      <c r="O50" s="52" t="s">
        <v>75</v>
      </c>
      <c r="P50" s="52" t="s">
        <v>76</v>
      </c>
    </row>
    <row r="51" spans="1:16" ht="12.75" customHeight="1" thickBot="1" x14ac:dyDescent="0.25">
      <c r="A51" s="12" t="str">
        <f t="shared" si="6"/>
        <v> MVS 11.25 </v>
      </c>
      <c r="B51" s="4" t="str">
        <f t="shared" si="7"/>
        <v>I</v>
      </c>
      <c r="C51" s="12">
        <f t="shared" si="8"/>
        <v>40097.466999999997</v>
      </c>
      <c r="D51" s="11" t="str">
        <f t="shared" si="9"/>
        <v>vis</v>
      </c>
      <c r="E51" s="49">
        <f>VLOOKUP(C51,Active!C$21:E$969,3,FALSE)</f>
        <v>-2708.0282693906674</v>
      </c>
      <c r="F51" s="4" t="s">
        <v>68</v>
      </c>
      <c r="G51" s="11" t="str">
        <f t="shared" si="10"/>
        <v>40097.467</v>
      </c>
      <c r="H51" s="12">
        <f t="shared" si="11"/>
        <v>-2708</v>
      </c>
      <c r="I51" s="50" t="s">
        <v>140</v>
      </c>
      <c r="J51" s="51" t="s">
        <v>141</v>
      </c>
      <c r="K51" s="50">
        <v>-2708</v>
      </c>
      <c r="L51" s="50" t="s">
        <v>142</v>
      </c>
      <c r="M51" s="51" t="s">
        <v>74</v>
      </c>
      <c r="N51" s="51"/>
      <c r="O51" s="52" t="s">
        <v>75</v>
      </c>
      <c r="P51" s="52" t="s">
        <v>76</v>
      </c>
    </row>
    <row r="52" spans="1:16" ht="12.75" customHeight="1" thickBot="1" x14ac:dyDescent="0.25">
      <c r="A52" s="12" t="str">
        <f t="shared" si="6"/>
        <v> MVS 11.25 </v>
      </c>
      <c r="B52" s="4" t="str">
        <f t="shared" si="7"/>
        <v>I</v>
      </c>
      <c r="C52" s="12">
        <f t="shared" si="8"/>
        <v>40101.535000000003</v>
      </c>
      <c r="D52" s="11" t="str">
        <f t="shared" si="9"/>
        <v>vis</v>
      </c>
      <c r="E52" s="49">
        <f>VLOOKUP(C52,Active!C$21:E$969,3,FALSE)</f>
        <v>-2701.9883596626614</v>
      </c>
      <c r="F52" s="4" t="s">
        <v>68</v>
      </c>
      <c r="G52" s="11" t="str">
        <f t="shared" si="10"/>
        <v>40101.535</v>
      </c>
      <c r="H52" s="12">
        <f t="shared" si="11"/>
        <v>-2702</v>
      </c>
      <c r="I52" s="50" t="s">
        <v>143</v>
      </c>
      <c r="J52" s="51" t="s">
        <v>144</v>
      </c>
      <c r="K52" s="50">
        <v>-2702</v>
      </c>
      <c r="L52" s="50" t="s">
        <v>145</v>
      </c>
      <c r="M52" s="51" t="s">
        <v>74</v>
      </c>
      <c r="N52" s="51"/>
      <c r="O52" s="52" t="s">
        <v>75</v>
      </c>
      <c r="P52" s="52" t="s">
        <v>76</v>
      </c>
    </row>
    <row r="53" spans="1:16" ht="12.75" customHeight="1" thickBot="1" x14ac:dyDescent="0.25">
      <c r="A53" s="12" t="str">
        <f t="shared" si="6"/>
        <v> MVS 11.25 </v>
      </c>
      <c r="B53" s="4" t="str">
        <f t="shared" si="7"/>
        <v>I</v>
      </c>
      <c r="C53" s="12">
        <f t="shared" si="8"/>
        <v>40151.375999999997</v>
      </c>
      <c r="D53" s="11" t="str">
        <f t="shared" si="9"/>
        <v>vis</v>
      </c>
      <c r="E53" s="49">
        <f>VLOOKUP(C53,Active!C$21:E$969,3,FALSE)</f>
        <v>-2627.9875875994812</v>
      </c>
      <c r="F53" s="4" t="s">
        <v>68</v>
      </c>
      <c r="G53" s="11" t="str">
        <f t="shared" si="10"/>
        <v>40151.376</v>
      </c>
      <c r="H53" s="12">
        <f t="shared" si="11"/>
        <v>-2628</v>
      </c>
      <c r="I53" s="50" t="s">
        <v>146</v>
      </c>
      <c r="J53" s="51" t="s">
        <v>147</v>
      </c>
      <c r="K53" s="50">
        <v>-2628</v>
      </c>
      <c r="L53" s="50" t="s">
        <v>145</v>
      </c>
      <c r="M53" s="51" t="s">
        <v>74</v>
      </c>
      <c r="N53" s="51"/>
      <c r="O53" s="52" t="s">
        <v>75</v>
      </c>
      <c r="P53" s="52" t="s">
        <v>76</v>
      </c>
    </row>
    <row r="54" spans="1:16" ht="12.75" customHeight="1" thickBot="1" x14ac:dyDescent="0.25">
      <c r="A54" s="12" t="str">
        <f t="shared" si="6"/>
        <v> MVS 11.25 </v>
      </c>
      <c r="B54" s="4" t="str">
        <f t="shared" si="7"/>
        <v>II</v>
      </c>
      <c r="C54" s="12">
        <f t="shared" si="8"/>
        <v>41363.334999999999</v>
      </c>
      <c r="D54" s="11" t="str">
        <f t="shared" si="9"/>
        <v>vis</v>
      </c>
      <c r="E54" s="49">
        <f>VLOOKUP(C54,Active!C$21:E$969,3,FALSE)</f>
        <v>-828.54733341251938</v>
      </c>
      <c r="F54" s="4" t="s">
        <v>68</v>
      </c>
      <c r="G54" s="11" t="str">
        <f t="shared" si="10"/>
        <v>41363.335</v>
      </c>
      <c r="H54" s="12">
        <f t="shared" si="11"/>
        <v>-828.5</v>
      </c>
      <c r="I54" s="50" t="s">
        <v>148</v>
      </c>
      <c r="J54" s="51" t="s">
        <v>149</v>
      </c>
      <c r="K54" s="50">
        <v>-828.5</v>
      </c>
      <c r="L54" s="50" t="s">
        <v>88</v>
      </c>
      <c r="M54" s="51" t="s">
        <v>74</v>
      </c>
      <c r="N54" s="51"/>
      <c r="O54" s="52" t="s">
        <v>75</v>
      </c>
      <c r="P54" s="52" t="s">
        <v>76</v>
      </c>
    </row>
    <row r="55" spans="1:16" ht="12.75" customHeight="1" thickBot="1" x14ac:dyDescent="0.25">
      <c r="A55" s="12" t="str">
        <f t="shared" si="6"/>
        <v> MVS 11.25 </v>
      </c>
      <c r="B55" s="4" t="str">
        <f t="shared" si="7"/>
        <v>I</v>
      </c>
      <c r="C55" s="12">
        <f t="shared" si="8"/>
        <v>41595.387999999999</v>
      </c>
      <c r="D55" s="11" t="str">
        <f t="shared" si="9"/>
        <v>vis</v>
      </c>
      <c r="E55" s="49">
        <f>VLOOKUP(C55,Active!C$21:E$969,3,FALSE)</f>
        <v>-484.0096804846184</v>
      </c>
      <c r="F55" s="4" t="s">
        <v>68</v>
      </c>
      <c r="G55" s="11" t="str">
        <f t="shared" si="10"/>
        <v>41595.388</v>
      </c>
      <c r="H55" s="12">
        <f t="shared" si="11"/>
        <v>-484</v>
      </c>
      <c r="I55" s="50" t="s">
        <v>150</v>
      </c>
      <c r="J55" s="51" t="s">
        <v>151</v>
      </c>
      <c r="K55" s="50">
        <v>-484</v>
      </c>
      <c r="L55" s="50" t="s">
        <v>152</v>
      </c>
      <c r="M55" s="51" t="s">
        <v>70</v>
      </c>
      <c r="N55" s="51"/>
      <c r="O55" s="52" t="s">
        <v>75</v>
      </c>
      <c r="P55" s="52" t="s">
        <v>76</v>
      </c>
    </row>
    <row r="56" spans="1:16" ht="12.75" customHeight="1" thickBot="1" x14ac:dyDescent="0.25">
      <c r="A56" s="12" t="str">
        <f t="shared" si="6"/>
        <v> MVS 11.25 </v>
      </c>
      <c r="B56" s="4" t="str">
        <f t="shared" si="7"/>
        <v>II</v>
      </c>
      <c r="C56" s="12">
        <f t="shared" si="8"/>
        <v>41598.413</v>
      </c>
      <c r="D56" s="11" t="str">
        <f t="shared" si="9"/>
        <v>vis</v>
      </c>
      <c r="E56" s="49">
        <f>VLOOKUP(C56,Active!C$21:E$969,3,FALSE)</f>
        <v>-479.51835134813922</v>
      </c>
      <c r="F56" s="4" t="s">
        <v>68</v>
      </c>
      <c r="G56" s="11" t="str">
        <f t="shared" si="10"/>
        <v>41598.413</v>
      </c>
      <c r="H56" s="12">
        <f t="shared" si="11"/>
        <v>-479.5</v>
      </c>
      <c r="I56" s="50" t="s">
        <v>153</v>
      </c>
      <c r="J56" s="51" t="s">
        <v>154</v>
      </c>
      <c r="K56" s="50">
        <v>-479.5</v>
      </c>
      <c r="L56" s="50" t="s">
        <v>155</v>
      </c>
      <c r="M56" s="51" t="s">
        <v>70</v>
      </c>
      <c r="N56" s="51"/>
      <c r="O56" s="52" t="s">
        <v>75</v>
      </c>
      <c r="P56" s="52" t="s">
        <v>76</v>
      </c>
    </row>
    <row r="57" spans="1:16" ht="12.75" customHeight="1" thickBot="1" x14ac:dyDescent="0.25">
      <c r="A57" s="12" t="str">
        <f t="shared" si="6"/>
        <v> MVS 11.25 </v>
      </c>
      <c r="B57" s="4" t="str">
        <f t="shared" si="7"/>
        <v>I</v>
      </c>
      <c r="C57" s="12">
        <f t="shared" si="8"/>
        <v>41599.423999999999</v>
      </c>
      <c r="D57" s="11" t="str">
        <f t="shared" si="9"/>
        <v>vis</v>
      </c>
      <c r="E57" s="49">
        <f>VLOOKUP(C57,Active!C$21:E$969,3,FALSE)</f>
        <v>-478.01728233756995</v>
      </c>
      <c r="F57" s="4" t="s">
        <v>68</v>
      </c>
      <c r="G57" s="11" t="str">
        <f t="shared" si="10"/>
        <v>41599.424</v>
      </c>
      <c r="H57" s="12">
        <f t="shared" si="11"/>
        <v>-478</v>
      </c>
      <c r="I57" s="50" t="s">
        <v>156</v>
      </c>
      <c r="J57" s="51" t="s">
        <v>157</v>
      </c>
      <c r="K57" s="50">
        <v>-478</v>
      </c>
      <c r="L57" s="50" t="s">
        <v>155</v>
      </c>
      <c r="M57" s="51" t="s">
        <v>70</v>
      </c>
      <c r="N57" s="51"/>
      <c r="O57" s="52" t="s">
        <v>75</v>
      </c>
      <c r="P57" s="52" t="s">
        <v>76</v>
      </c>
    </row>
    <row r="58" spans="1:16" ht="12.75" customHeight="1" thickBot="1" x14ac:dyDescent="0.25">
      <c r="A58" s="12" t="str">
        <f t="shared" si="6"/>
        <v> MVS 11.25 </v>
      </c>
      <c r="B58" s="4" t="str">
        <f t="shared" si="7"/>
        <v>I</v>
      </c>
      <c r="C58" s="12">
        <f t="shared" si="8"/>
        <v>41601.442000000003</v>
      </c>
      <c r="D58" s="11" t="str">
        <f t="shared" si="9"/>
        <v>vis</v>
      </c>
      <c r="E58" s="49">
        <f>VLOOKUP(C58,Active!C$21:E$969,3,FALSE)</f>
        <v>-475.02108326404033</v>
      </c>
      <c r="F58" s="4" t="s">
        <v>68</v>
      </c>
      <c r="G58" s="11" t="str">
        <f t="shared" si="10"/>
        <v>41601.442</v>
      </c>
      <c r="H58" s="12">
        <f t="shared" si="11"/>
        <v>-475</v>
      </c>
      <c r="I58" s="50" t="s">
        <v>158</v>
      </c>
      <c r="J58" s="51" t="s">
        <v>159</v>
      </c>
      <c r="K58" s="50">
        <v>-475</v>
      </c>
      <c r="L58" s="50" t="s">
        <v>160</v>
      </c>
      <c r="M58" s="51" t="s">
        <v>74</v>
      </c>
      <c r="N58" s="51"/>
      <c r="O58" s="52" t="s">
        <v>75</v>
      </c>
      <c r="P58" s="52" t="s">
        <v>76</v>
      </c>
    </row>
    <row r="59" spans="1:16" ht="12.75" customHeight="1" thickBot="1" x14ac:dyDescent="0.25">
      <c r="A59" s="12" t="str">
        <f t="shared" si="6"/>
        <v> MVS 11.25 </v>
      </c>
      <c r="B59" s="4" t="str">
        <f t="shared" si="7"/>
        <v>I</v>
      </c>
      <c r="C59" s="12">
        <f t="shared" si="8"/>
        <v>41717.303</v>
      </c>
      <c r="D59" s="11" t="str">
        <f t="shared" si="9"/>
        <v>vis</v>
      </c>
      <c r="E59" s="49">
        <f>VLOOKUP(C59,Active!C$21:E$969,3,FALSE)</f>
        <v>-302.9979807578087</v>
      </c>
      <c r="F59" s="4" t="s">
        <v>68</v>
      </c>
      <c r="G59" s="11" t="str">
        <f t="shared" si="10"/>
        <v>41717.303</v>
      </c>
      <c r="H59" s="12">
        <f t="shared" si="11"/>
        <v>-303</v>
      </c>
      <c r="I59" s="50" t="s">
        <v>161</v>
      </c>
      <c r="J59" s="51" t="s">
        <v>162</v>
      </c>
      <c r="K59" s="50">
        <v>-303</v>
      </c>
      <c r="L59" s="50" t="s">
        <v>163</v>
      </c>
      <c r="M59" s="51" t="s">
        <v>74</v>
      </c>
      <c r="N59" s="51"/>
      <c r="O59" s="52" t="s">
        <v>75</v>
      </c>
      <c r="P59" s="52" t="s">
        <v>76</v>
      </c>
    </row>
    <row r="60" spans="1:16" ht="12.75" customHeight="1" thickBot="1" x14ac:dyDescent="0.25">
      <c r="A60" s="12" t="str">
        <f t="shared" si="6"/>
        <v> MVS 11.25 </v>
      </c>
      <c r="B60" s="4" t="str">
        <f t="shared" si="7"/>
        <v>I</v>
      </c>
      <c r="C60" s="12">
        <f t="shared" si="8"/>
        <v>41931.474999999999</v>
      </c>
      <c r="D60" s="11" t="str">
        <f t="shared" si="9"/>
        <v>vis</v>
      </c>
      <c r="E60" s="49">
        <f>VLOOKUP(C60,Active!C$21:E$969,3,FALSE)</f>
        <v>14.991091578571309</v>
      </c>
      <c r="F60" s="4" t="s">
        <v>68</v>
      </c>
      <c r="G60" s="11" t="str">
        <f t="shared" si="10"/>
        <v>41931.475</v>
      </c>
      <c r="H60" s="12">
        <f t="shared" si="11"/>
        <v>15</v>
      </c>
      <c r="I60" s="50" t="s">
        <v>171</v>
      </c>
      <c r="J60" s="51" t="s">
        <v>172</v>
      </c>
      <c r="K60" s="50">
        <v>15</v>
      </c>
      <c r="L60" s="50" t="s">
        <v>173</v>
      </c>
      <c r="M60" s="51" t="s">
        <v>74</v>
      </c>
      <c r="N60" s="51"/>
      <c r="O60" s="52" t="s">
        <v>75</v>
      </c>
      <c r="P60" s="52" t="s">
        <v>76</v>
      </c>
    </row>
    <row r="61" spans="1:16" ht="12.75" customHeight="1" thickBot="1" x14ac:dyDescent="0.25">
      <c r="A61" s="12" t="str">
        <f t="shared" si="6"/>
        <v> MVS 11.25 </v>
      </c>
      <c r="B61" s="4" t="str">
        <f t="shared" si="7"/>
        <v>I</v>
      </c>
      <c r="C61" s="12">
        <f t="shared" si="8"/>
        <v>41960.449000000001</v>
      </c>
      <c r="D61" s="11" t="str">
        <f t="shared" si="9"/>
        <v>vis</v>
      </c>
      <c r="E61" s="49">
        <f>VLOOKUP(C61,Active!C$21:E$969,3,FALSE)</f>
        <v>58.009858653048653</v>
      </c>
      <c r="F61" s="4" t="s">
        <v>68</v>
      </c>
      <c r="G61" s="11" t="str">
        <f t="shared" si="10"/>
        <v>41960.449</v>
      </c>
      <c r="H61" s="12">
        <f t="shared" si="11"/>
        <v>58</v>
      </c>
      <c r="I61" s="50" t="s">
        <v>174</v>
      </c>
      <c r="J61" s="51" t="s">
        <v>175</v>
      </c>
      <c r="K61" s="50">
        <v>58</v>
      </c>
      <c r="L61" s="50" t="s">
        <v>176</v>
      </c>
      <c r="M61" s="51" t="s">
        <v>74</v>
      </c>
      <c r="N61" s="51"/>
      <c r="O61" s="52" t="s">
        <v>75</v>
      </c>
      <c r="P61" s="52" t="s">
        <v>76</v>
      </c>
    </row>
    <row r="62" spans="1:16" ht="12.75" customHeight="1" thickBot="1" x14ac:dyDescent="0.25">
      <c r="A62" s="12" t="str">
        <f t="shared" si="6"/>
        <v> MVS 11.25 </v>
      </c>
      <c r="B62" s="4" t="str">
        <f t="shared" si="7"/>
        <v>I</v>
      </c>
      <c r="C62" s="12">
        <f t="shared" si="8"/>
        <v>41983.38</v>
      </c>
      <c r="D62" s="11" t="str">
        <f t="shared" si="9"/>
        <v>vis</v>
      </c>
      <c r="E62" s="49">
        <f>VLOOKUP(C62,Active!C$21:E$969,3,FALSE)</f>
        <v>92.056360612896697</v>
      </c>
      <c r="F62" s="4" t="s">
        <v>68</v>
      </c>
      <c r="G62" s="11" t="str">
        <f t="shared" si="10"/>
        <v>41983.380</v>
      </c>
      <c r="H62" s="12">
        <f t="shared" si="11"/>
        <v>92</v>
      </c>
      <c r="I62" s="50" t="s">
        <v>177</v>
      </c>
      <c r="J62" s="51" t="s">
        <v>178</v>
      </c>
      <c r="K62" s="50">
        <v>92</v>
      </c>
      <c r="L62" s="50" t="s">
        <v>179</v>
      </c>
      <c r="M62" s="51" t="s">
        <v>74</v>
      </c>
      <c r="N62" s="51"/>
      <c r="O62" s="52" t="s">
        <v>75</v>
      </c>
      <c r="P62" s="52" t="s">
        <v>76</v>
      </c>
    </row>
    <row r="63" spans="1:16" ht="12.75" customHeight="1" thickBot="1" x14ac:dyDescent="0.25">
      <c r="A63" s="12" t="str">
        <f t="shared" si="6"/>
        <v> MVS 11.25 </v>
      </c>
      <c r="B63" s="4" t="str">
        <f t="shared" si="7"/>
        <v>I</v>
      </c>
      <c r="C63" s="12">
        <f t="shared" si="8"/>
        <v>41987.408000000003</v>
      </c>
      <c r="D63" s="11" t="str">
        <f t="shared" si="9"/>
        <v>vis</v>
      </c>
      <c r="E63" s="49">
        <f>VLOOKUP(C63,Active!C$21:E$969,3,FALSE)</f>
        <v>98.036880864716551</v>
      </c>
      <c r="F63" s="4" t="s">
        <v>68</v>
      </c>
      <c r="G63" s="11" t="str">
        <f t="shared" si="10"/>
        <v>41987.408</v>
      </c>
      <c r="H63" s="12">
        <f t="shared" si="11"/>
        <v>98</v>
      </c>
      <c r="I63" s="50" t="s">
        <v>180</v>
      </c>
      <c r="J63" s="51" t="s">
        <v>181</v>
      </c>
      <c r="K63" s="50">
        <v>98</v>
      </c>
      <c r="L63" s="50" t="s">
        <v>182</v>
      </c>
      <c r="M63" s="51" t="s">
        <v>74</v>
      </c>
      <c r="N63" s="51"/>
      <c r="O63" s="52" t="s">
        <v>75</v>
      </c>
      <c r="P63" s="52" t="s">
        <v>76</v>
      </c>
    </row>
    <row r="64" spans="1:16" ht="12.75" customHeight="1" thickBot="1" x14ac:dyDescent="0.25">
      <c r="A64" s="12" t="str">
        <f t="shared" si="6"/>
        <v> MVS 11.25 </v>
      </c>
      <c r="B64" s="4" t="str">
        <f t="shared" si="7"/>
        <v>II</v>
      </c>
      <c r="C64" s="12">
        <f t="shared" si="8"/>
        <v>41988.428</v>
      </c>
      <c r="D64" s="11" t="str">
        <f t="shared" si="9"/>
        <v>vis</v>
      </c>
      <c r="E64" s="49">
        <f>VLOOKUP(C64,Active!C$21:E$969,3,FALSE)</f>
        <v>99.551312507424697</v>
      </c>
      <c r="F64" s="4" t="s">
        <v>68</v>
      </c>
      <c r="G64" s="11" t="str">
        <f t="shared" si="10"/>
        <v>41988.428</v>
      </c>
      <c r="H64" s="12">
        <f t="shared" si="11"/>
        <v>99.5</v>
      </c>
      <c r="I64" s="50" t="s">
        <v>183</v>
      </c>
      <c r="J64" s="51" t="s">
        <v>184</v>
      </c>
      <c r="K64" s="50">
        <v>99.5</v>
      </c>
      <c r="L64" s="50" t="s">
        <v>185</v>
      </c>
      <c r="M64" s="51" t="s">
        <v>74</v>
      </c>
      <c r="N64" s="51"/>
      <c r="O64" s="52" t="s">
        <v>75</v>
      </c>
      <c r="P64" s="52" t="s">
        <v>76</v>
      </c>
    </row>
    <row r="65" spans="1:16" ht="12.75" customHeight="1" thickBot="1" x14ac:dyDescent="0.25">
      <c r="A65" s="12" t="str">
        <f t="shared" si="6"/>
        <v>IBVS 3615 </v>
      </c>
      <c r="B65" s="4" t="str">
        <f t="shared" si="7"/>
        <v>I</v>
      </c>
      <c r="C65" s="12">
        <f t="shared" si="8"/>
        <v>48151.472199999997</v>
      </c>
      <c r="D65" s="11" t="str">
        <f t="shared" si="9"/>
        <v>vis</v>
      </c>
      <c r="E65" s="49" t="e">
        <f>VLOOKUP(C65,Active!C$21:E$969,3,FALSE)</f>
        <v>#N/A</v>
      </c>
      <c r="F65" s="4" t="s">
        <v>68</v>
      </c>
      <c r="G65" s="11" t="str">
        <f t="shared" si="10"/>
        <v>48151.4722</v>
      </c>
      <c r="H65" s="12">
        <f t="shared" si="11"/>
        <v>9245</v>
      </c>
      <c r="I65" s="50" t="s">
        <v>186</v>
      </c>
      <c r="J65" s="51" t="s">
        <v>187</v>
      </c>
      <c r="K65" s="50">
        <v>9245</v>
      </c>
      <c r="L65" s="50" t="s">
        <v>188</v>
      </c>
      <c r="M65" s="51" t="s">
        <v>167</v>
      </c>
      <c r="N65" s="51" t="s">
        <v>168</v>
      </c>
      <c r="O65" s="52" t="s">
        <v>189</v>
      </c>
      <c r="P65" s="53" t="s">
        <v>190</v>
      </c>
    </row>
    <row r="66" spans="1:16" ht="12.75" customHeight="1" thickBot="1" x14ac:dyDescent="0.25">
      <c r="A66" s="12" t="str">
        <f t="shared" si="6"/>
        <v>BAVM 62 </v>
      </c>
      <c r="B66" s="4" t="str">
        <f t="shared" si="7"/>
        <v>I</v>
      </c>
      <c r="C66" s="12">
        <f t="shared" si="8"/>
        <v>48985.294300000001</v>
      </c>
      <c r="D66" s="11" t="str">
        <f t="shared" si="9"/>
        <v>vis</v>
      </c>
      <c r="E66" s="49">
        <f>VLOOKUP(C66,Active!C$21:E$969,3,FALSE)</f>
        <v>10488.056924812927</v>
      </c>
      <c r="F66" s="4" t="s">
        <v>68</v>
      </c>
      <c r="G66" s="11" t="str">
        <f t="shared" si="10"/>
        <v>48985.2943</v>
      </c>
      <c r="H66" s="12">
        <f t="shared" si="11"/>
        <v>10483</v>
      </c>
      <c r="I66" s="50" t="s">
        <v>191</v>
      </c>
      <c r="J66" s="51" t="s">
        <v>192</v>
      </c>
      <c r="K66" s="50">
        <v>10483</v>
      </c>
      <c r="L66" s="50" t="s">
        <v>193</v>
      </c>
      <c r="M66" s="51" t="s">
        <v>167</v>
      </c>
      <c r="N66" s="51" t="s">
        <v>194</v>
      </c>
      <c r="O66" s="52" t="s">
        <v>195</v>
      </c>
      <c r="P66" s="53" t="s">
        <v>196</v>
      </c>
    </row>
    <row r="67" spans="1:16" ht="12.75" customHeight="1" thickBot="1" x14ac:dyDescent="0.25">
      <c r="A67" s="12" t="str">
        <f t="shared" si="6"/>
        <v>BAVM 62 </v>
      </c>
      <c r="B67" s="4" t="str">
        <f t="shared" si="7"/>
        <v>I</v>
      </c>
      <c r="C67" s="12">
        <f t="shared" si="8"/>
        <v>48985.294500000004</v>
      </c>
      <c r="D67" s="11" t="str">
        <f t="shared" si="9"/>
        <v>vis</v>
      </c>
      <c r="E67" s="49">
        <f>VLOOKUP(C67,Active!C$21:E$969,3,FALSE)</f>
        <v>10488.057221760311</v>
      </c>
      <c r="F67" s="4" t="s">
        <v>68</v>
      </c>
      <c r="G67" s="11" t="str">
        <f t="shared" si="10"/>
        <v>48985.2945</v>
      </c>
      <c r="H67" s="12">
        <f t="shared" si="11"/>
        <v>10483</v>
      </c>
      <c r="I67" s="50" t="s">
        <v>197</v>
      </c>
      <c r="J67" s="51" t="s">
        <v>198</v>
      </c>
      <c r="K67" s="50">
        <v>10483</v>
      </c>
      <c r="L67" s="50" t="s">
        <v>199</v>
      </c>
      <c r="M67" s="51" t="s">
        <v>167</v>
      </c>
      <c r="N67" s="51" t="s">
        <v>200</v>
      </c>
      <c r="O67" s="52" t="s">
        <v>195</v>
      </c>
      <c r="P67" s="53" t="s">
        <v>196</v>
      </c>
    </row>
    <row r="68" spans="1:16" ht="12.75" customHeight="1" thickBot="1" x14ac:dyDescent="0.25">
      <c r="A68" s="12" t="str">
        <f t="shared" si="6"/>
        <v>BAVM 69 </v>
      </c>
      <c r="B68" s="4" t="str">
        <f t="shared" si="7"/>
        <v>I</v>
      </c>
      <c r="C68" s="12">
        <f t="shared" si="8"/>
        <v>49618.406999999999</v>
      </c>
      <c r="D68" s="11" t="str">
        <f t="shared" si="9"/>
        <v>vis</v>
      </c>
      <c r="E68" s="49">
        <f>VLOOKUP(C68,Active!C$21:E$969,3,FALSE)</f>
        <v>11428.062715286851</v>
      </c>
      <c r="F68" s="4" t="s">
        <v>68</v>
      </c>
      <c r="G68" s="11" t="str">
        <f t="shared" si="10"/>
        <v>49618.4070</v>
      </c>
      <c r="H68" s="12">
        <f t="shared" si="11"/>
        <v>11423</v>
      </c>
      <c r="I68" s="50" t="s">
        <v>201</v>
      </c>
      <c r="J68" s="51" t="s">
        <v>202</v>
      </c>
      <c r="K68" s="50">
        <v>11423</v>
      </c>
      <c r="L68" s="50" t="s">
        <v>203</v>
      </c>
      <c r="M68" s="51" t="s">
        <v>167</v>
      </c>
      <c r="N68" s="51" t="s">
        <v>204</v>
      </c>
      <c r="O68" s="52" t="s">
        <v>205</v>
      </c>
      <c r="P68" s="53" t="s">
        <v>206</v>
      </c>
    </row>
    <row r="69" spans="1:16" ht="12.75" customHeight="1" thickBot="1" x14ac:dyDescent="0.25">
      <c r="A69" s="12" t="str">
        <f t="shared" si="6"/>
        <v>IBVS 5493 </v>
      </c>
      <c r="B69" s="4" t="str">
        <f t="shared" si="7"/>
        <v>II</v>
      </c>
      <c r="C69" s="12">
        <f t="shared" si="8"/>
        <v>52951.668100000003</v>
      </c>
      <c r="D69" s="11" t="str">
        <f t="shared" si="9"/>
        <v>vis</v>
      </c>
      <c r="E69" s="49" t="e">
        <f>VLOOKUP(C69,Active!C$21:E$969,3,FALSE)</f>
        <v>#N/A</v>
      </c>
      <c r="F69" s="4" t="s">
        <v>68</v>
      </c>
      <c r="G69" s="11" t="str">
        <f t="shared" si="10"/>
        <v>52951.6681</v>
      </c>
      <c r="H69" s="12">
        <f t="shared" si="11"/>
        <v>16372.5</v>
      </c>
      <c r="I69" s="50" t="s">
        <v>234</v>
      </c>
      <c r="J69" s="51" t="s">
        <v>235</v>
      </c>
      <c r="K69" s="50">
        <v>16372.5</v>
      </c>
      <c r="L69" s="50" t="s">
        <v>236</v>
      </c>
      <c r="M69" s="51" t="s">
        <v>167</v>
      </c>
      <c r="N69" s="51" t="s">
        <v>168</v>
      </c>
      <c r="O69" s="52" t="s">
        <v>237</v>
      </c>
      <c r="P69" s="53" t="s">
        <v>238</v>
      </c>
    </row>
    <row r="70" spans="1:16" ht="12.75" customHeight="1" thickBot="1" x14ac:dyDescent="0.25">
      <c r="A70" s="12" t="str">
        <f t="shared" si="6"/>
        <v>OEJV 0094 </v>
      </c>
      <c r="B70" s="4" t="str">
        <f t="shared" si="7"/>
        <v>II</v>
      </c>
      <c r="C70" s="12">
        <f t="shared" si="8"/>
        <v>54456.313900000001</v>
      </c>
      <c r="D70" s="11" t="str">
        <f t="shared" si="9"/>
        <v>vis</v>
      </c>
      <c r="E70" s="49" t="e">
        <f>VLOOKUP(C70,Active!C$21:E$969,3,FALSE)</f>
        <v>#N/A</v>
      </c>
      <c r="F70" s="4" t="s">
        <v>68</v>
      </c>
      <c r="G70" s="11" t="str">
        <f t="shared" si="10"/>
        <v>54456.3139</v>
      </c>
      <c r="H70" s="12">
        <f t="shared" si="11"/>
        <v>18606.5</v>
      </c>
      <c r="I70" s="50" t="s">
        <v>263</v>
      </c>
      <c r="J70" s="51" t="s">
        <v>264</v>
      </c>
      <c r="K70" s="50">
        <v>18606.5</v>
      </c>
      <c r="L70" s="50" t="s">
        <v>265</v>
      </c>
      <c r="M70" s="51" t="s">
        <v>247</v>
      </c>
      <c r="N70" s="51" t="s">
        <v>256</v>
      </c>
      <c r="O70" s="52" t="s">
        <v>266</v>
      </c>
      <c r="P70" s="53" t="s">
        <v>267</v>
      </c>
    </row>
    <row r="71" spans="1:16" ht="12.75" customHeight="1" thickBot="1" x14ac:dyDescent="0.25">
      <c r="A71" s="12" t="str">
        <f t="shared" si="6"/>
        <v>OEJV 0137 </v>
      </c>
      <c r="B71" s="4" t="str">
        <f t="shared" si="7"/>
        <v>II</v>
      </c>
      <c r="C71" s="12">
        <f t="shared" si="8"/>
        <v>55500.275900000001</v>
      </c>
      <c r="D71" s="11" t="str">
        <f t="shared" si="9"/>
        <v>vis</v>
      </c>
      <c r="E71" s="49" t="e">
        <f>VLOOKUP(C71,Active!C$21:E$969,3,FALSE)</f>
        <v>#N/A</v>
      </c>
      <c r="F71" s="4" t="s">
        <v>68</v>
      </c>
      <c r="G71" s="11" t="str">
        <f t="shared" si="10"/>
        <v>55500.2759</v>
      </c>
      <c r="H71" s="12">
        <f t="shared" si="11"/>
        <v>20156.5</v>
      </c>
      <c r="I71" s="50" t="s">
        <v>273</v>
      </c>
      <c r="J71" s="51" t="s">
        <v>274</v>
      </c>
      <c r="K71" s="50">
        <v>20156.5</v>
      </c>
      <c r="L71" s="50" t="s">
        <v>275</v>
      </c>
      <c r="M71" s="51" t="s">
        <v>247</v>
      </c>
      <c r="N71" s="51" t="s">
        <v>256</v>
      </c>
      <c r="O71" s="52" t="s">
        <v>276</v>
      </c>
      <c r="P71" s="53" t="s">
        <v>277</v>
      </c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</sheetData>
  <phoneticPr fontId="18" type="noConversion"/>
  <hyperlinks>
    <hyperlink ref="P11" r:id="rId1" display="http://www.konkoly.hu/cgi-bin/IBVS?867" xr:uid="{00000000-0004-0000-0100-000000000000}"/>
    <hyperlink ref="P65" r:id="rId2" display="http://www.konkoly.hu/cgi-bin/IBVS?3615" xr:uid="{00000000-0004-0000-0100-000001000000}"/>
    <hyperlink ref="P66" r:id="rId3" display="http://www.bav-astro.de/sfs/BAVM_link.php?BAVMnr=62" xr:uid="{00000000-0004-0000-0100-000002000000}"/>
    <hyperlink ref="P67" r:id="rId4" display="http://www.bav-astro.de/sfs/BAVM_link.php?BAVMnr=62" xr:uid="{00000000-0004-0000-0100-000003000000}"/>
    <hyperlink ref="P68" r:id="rId5" display="http://www.bav-astro.de/sfs/BAVM_link.php?BAVMnr=69" xr:uid="{00000000-0004-0000-0100-000004000000}"/>
    <hyperlink ref="P12" r:id="rId6" display="http://www.bav-astro.de/sfs/BAVM_link.php?BAVMnr=80" xr:uid="{00000000-0004-0000-0100-000005000000}"/>
    <hyperlink ref="P13" r:id="rId7" display="http://www.bav-astro.de/sfs/BAVM_link.php?BAVMnr=91" xr:uid="{00000000-0004-0000-0100-000006000000}"/>
    <hyperlink ref="P14" r:id="rId8" display="http://www.bav-astro.de/sfs/BAVM_link.php?BAVMnr=117" xr:uid="{00000000-0004-0000-0100-000007000000}"/>
    <hyperlink ref="P15" r:id="rId9" display="http://www.bav-astro.de/sfs/BAVM_link.php?BAVMnr=152" xr:uid="{00000000-0004-0000-0100-000008000000}"/>
    <hyperlink ref="P16" r:id="rId10" display="http://www.konkoly.hu/cgi-bin/IBVS?5594" xr:uid="{00000000-0004-0000-0100-000009000000}"/>
    <hyperlink ref="P17" r:id="rId11" display="http://www.konkoly.hu/cgi-bin/IBVS?5502" xr:uid="{00000000-0004-0000-0100-00000A000000}"/>
    <hyperlink ref="P69" r:id="rId12" display="http://www.konkoly.hu/cgi-bin/IBVS?5493" xr:uid="{00000000-0004-0000-0100-00000B000000}"/>
    <hyperlink ref="P18" r:id="rId13" display="http://www.konkoly.hu/cgi-bin/IBVS?5694" xr:uid="{00000000-0004-0000-0100-00000C000000}"/>
    <hyperlink ref="P19" r:id="rId14" display="http://www.bav-astro.de/sfs/BAVM_link.php?BAVMnr=178" xr:uid="{00000000-0004-0000-0100-00000D000000}"/>
    <hyperlink ref="P20" r:id="rId15" display="http://www.konkoly.hu/cgi-bin/IBVS?5672" xr:uid="{00000000-0004-0000-0100-00000E000000}"/>
    <hyperlink ref="P21" r:id="rId16" display="http://var.astro.cz/oejv/issues/oejv0074.pdf" xr:uid="{00000000-0004-0000-0100-00000F000000}"/>
    <hyperlink ref="P22" r:id="rId17" display="http://www.konkoly.hu/cgi-bin/IBVS?5820" xr:uid="{00000000-0004-0000-0100-000010000000}"/>
    <hyperlink ref="P70" r:id="rId18" display="http://var.astro.cz/oejv/issues/oejv0094.pdf" xr:uid="{00000000-0004-0000-0100-000011000000}"/>
    <hyperlink ref="P23" r:id="rId19" display="http://www.konkoly.hu/cgi-bin/IBVS?5871" xr:uid="{00000000-0004-0000-0100-000012000000}"/>
    <hyperlink ref="P71" r:id="rId20" display="http://var.astro.cz/oejv/issues/oejv0137.pdf" xr:uid="{00000000-0004-0000-0100-000013000000}"/>
    <hyperlink ref="P24" r:id="rId21" display="http://var.astro.cz/oejv/issues/oejv0160.pdf" xr:uid="{00000000-0004-0000-0100-000014000000}"/>
    <hyperlink ref="P25" r:id="rId22" display="http://var.astro.cz/oejv/issues/oejv0160.pdf" xr:uid="{00000000-0004-0000-0100-000015000000}"/>
    <hyperlink ref="P26" r:id="rId23" display="http://var.astro.cz/oejv/issues/oejv0160.pdf" xr:uid="{00000000-0004-0000-0100-000016000000}"/>
    <hyperlink ref="P27" r:id="rId24" display="http://www.konkoly.hu/cgi-bin/IBVS?6042" xr:uid="{00000000-0004-0000-0100-000017000000}"/>
    <hyperlink ref="P28" r:id="rId25" display="http://www.bav-astro.de/sfs/BAVM_link.php?BAVMnr=238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2025-01-03T06:49:24Z</dcterms:modified>
</cp:coreProperties>
</file>