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FD50BC-7E1F-4827-B886-3622CA612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51" i="1"/>
  <c r="F51" i="1" s="1"/>
  <c r="G51" i="1" s="1"/>
  <c r="K51" i="1" s="1"/>
  <c r="Q51" i="1"/>
  <c r="E49" i="1"/>
  <c r="F49" i="1" s="1"/>
  <c r="G49" i="1" s="1"/>
  <c r="K49" i="1" s="1"/>
  <c r="Q49" i="1"/>
  <c r="E48" i="1"/>
  <c r="F48" i="1" s="1"/>
  <c r="G48" i="1" s="1"/>
  <c r="K48" i="1" s="1"/>
  <c r="Q48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Q41" i="1"/>
  <c r="D9" i="1"/>
  <c r="C9" i="1"/>
  <c r="Q42" i="1"/>
  <c r="Q40" i="1"/>
  <c r="Q34" i="1"/>
  <c r="G26" i="2"/>
  <c r="C26" i="2"/>
  <c r="G25" i="2"/>
  <c r="C25" i="2"/>
  <c r="G24" i="2"/>
  <c r="C24" i="2"/>
  <c r="G23" i="2"/>
  <c r="C23" i="2"/>
  <c r="G27" i="2"/>
  <c r="C27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7" i="2"/>
  <c r="B27" i="2"/>
  <c r="D27" i="2"/>
  <c r="A27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2" i="1"/>
  <c r="Q31" i="1"/>
  <c r="Q39" i="1"/>
  <c r="Q38" i="1"/>
  <c r="Q36" i="1"/>
  <c r="Q37" i="1"/>
  <c r="Q21" i="1"/>
  <c r="Q22" i="1"/>
  <c r="Q23" i="1"/>
  <c r="Q24" i="1"/>
  <c r="Q25" i="1"/>
  <c r="Q35" i="1"/>
  <c r="Q33" i="1"/>
  <c r="F14" i="1"/>
  <c r="F15" i="1" s="1"/>
  <c r="Q29" i="1"/>
  <c r="Q30" i="1"/>
  <c r="E41" i="1"/>
  <c r="F41" i="1" s="1"/>
  <c r="G41" i="1" s="1"/>
  <c r="K41" i="1" s="1"/>
  <c r="C17" i="1"/>
  <c r="Q26" i="1"/>
  <c r="Q27" i="1"/>
  <c r="Q28" i="1"/>
  <c r="E21" i="2"/>
  <c r="E31" i="1"/>
  <c r="F31" i="1" s="1"/>
  <c r="G31" i="1" s="1"/>
  <c r="J31" i="1" s="1"/>
  <c r="E39" i="1"/>
  <c r="F39" i="1" s="1"/>
  <c r="G39" i="1" s="1"/>
  <c r="K39" i="1" s="1"/>
  <c r="E32" i="1"/>
  <c r="F32" i="1" s="1"/>
  <c r="G32" i="1" s="1"/>
  <c r="J32" i="1" s="1"/>
  <c r="E33" i="1"/>
  <c r="F33" i="1" s="1"/>
  <c r="G33" i="1" s="1"/>
  <c r="K33" i="1" s="1"/>
  <c r="E42" i="1"/>
  <c r="F42" i="1"/>
  <c r="G42" i="1" s="1"/>
  <c r="K42" i="1" s="1"/>
  <c r="E36" i="1"/>
  <c r="F36" i="1" s="1"/>
  <c r="G36" i="1" s="1"/>
  <c r="K36" i="1" s="1"/>
  <c r="E35" i="1"/>
  <c r="E23" i="2" s="1"/>
  <c r="E29" i="1"/>
  <c r="F29" i="1"/>
  <c r="G29" i="1" s="1"/>
  <c r="K29" i="1" s="1"/>
  <c r="E25" i="1"/>
  <c r="F25" i="1" s="1"/>
  <c r="G25" i="1" s="1"/>
  <c r="K25" i="1" s="1"/>
  <c r="E23" i="1"/>
  <c r="F23" i="1" s="1"/>
  <c r="G23" i="1" s="1"/>
  <c r="K23" i="1" s="1"/>
  <c r="E21" i="1"/>
  <c r="E11" i="2" s="1"/>
  <c r="E38" i="1"/>
  <c r="F38" i="1" s="1"/>
  <c r="G38" i="1" s="1"/>
  <c r="K38" i="1" s="1"/>
  <c r="E27" i="1"/>
  <c r="E16" i="2" s="1"/>
  <c r="F27" i="1"/>
  <c r="E34" i="1"/>
  <c r="F34" i="1" s="1"/>
  <c r="G34" i="1" s="1"/>
  <c r="K34" i="1" s="1"/>
  <c r="E40" i="1"/>
  <c r="F40" i="1" s="1"/>
  <c r="G40" i="1" s="1"/>
  <c r="K40" i="1" s="1"/>
  <c r="E26" i="1"/>
  <c r="F26" i="1"/>
  <c r="G26" i="1" s="1"/>
  <c r="K26" i="1" s="1"/>
  <c r="E37" i="1"/>
  <c r="F37" i="1"/>
  <c r="G37" i="1" s="1"/>
  <c r="K37" i="1" s="1"/>
  <c r="E30" i="1"/>
  <c r="F30" i="1" s="1"/>
  <c r="G30" i="1" s="1"/>
  <c r="K30" i="1" s="1"/>
  <c r="E28" i="1"/>
  <c r="F28" i="1" s="1"/>
  <c r="G28" i="1" s="1"/>
  <c r="K28" i="1" s="1"/>
  <c r="E24" i="1"/>
  <c r="F24" i="1" s="1"/>
  <c r="G24" i="1" s="1"/>
  <c r="K24" i="1" s="1"/>
  <c r="E22" i="1"/>
  <c r="F22" i="1" s="1"/>
  <c r="G22" i="1" s="1"/>
  <c r="K22" i="1" s="1"/>
  <c r="E18" i="2"/>
  <c r="E26" i="2"/>
  <c r="E12" i="2"/>
  <c r="E25" i="2"/>
  <c r="E13" i="2"/>
  <c r="C11" i="1"/>
  <c r="C12" i="1"/>
  <c r="E17" i="2" l="1"/>
  <c r="E20" i="2"/>
  <c r="O51" i="1"/>
  <c r="O50" i="1"/>
  <c r="O49" i="1"/>
  <c r="O48" i="1"/>
  <c r="E14" i="2"/>
  <c r="E15" i="2"/>
  <c r="E22" i="2"/>
  <c r="O44" i="1"/>
  <c r="O43" i="1"/>
  <c r="E27" i="2"/>
  <c r="F35" i="1"/>
  <c r="G35" i="1" s="1"/>
  <c r="K35" i="1" s="1"/>
  <c r="E19" i="2"/>
  <c r="E24" i="2"/>
  <c r="F21" i="1"/>
  <c r="G21" i="1" s="1"/>
  <c r="K21" i="1" s="1"/>
  <c r="O47" i="1"/>
  <c r="O46" i="1"/>
  <c r="O45" i="1"/>
  <c r="C16" i="1"/>
  <c r="D18" i="1" s="1"/>
  <c r="O29" i="1"/>
  <c r="O31" i="1"/>
  <c r="O33" i="1"/>
  <c r="O28" i="1"/>
  <c r="O30" i="1"/>
  <c r="O38" i="1"/>
  <c r="O42" i="1"/>
  <c r="O36" i="1"/>
  <c r="O41" i="1"/>
  <c r="O32" i="1"/>
  <c r="O40" i="1"/>
  <c r="O34" i="1"/>
  <c r="O39" i="1"/>
  <c r="O37" i="1"/>
  <c r="O35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<sst xmlns="http://schemas.openxmlformats.org/spreadsheetml/2006/main" count="260" uniqueCount="158">
  <si>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</si>
  <si>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</si>
  <si>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</si>
  <si>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</si>
  <si>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</si>
  <si>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</si>
  <si>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</si>
  <si>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</si>
  <si>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</si>
  <si>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</si>
  <si>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</si>
  <si>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</si>
  <si>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</si>
  <si>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</si>
  <si>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</si>
  <si>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</si>
  <si>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</si>
  <si>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</si>
  <si>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</si>
  <si>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</si>
  <si>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</si>
  <si>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</si>
  <si>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</si>
  <si>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</si>
  <si>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</si>
  <si>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</si>
  <si>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</si>
  <si>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</si>
  <si>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</si>
  <si>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</si>
  <si>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</si>
  <si>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</si>
  <si>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</si>
  <si>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</si>
  <si>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</si>
  <si>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</si>
  <si>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</si>
  <si>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V0608 Cas / GSC 4320-1035               </t>
  </si>
  <si>
    <t xml:space="preserve">E:        </t>
  </si>
  <si>
    <t>IBVS 5761</t>
  </si>
  <si>
    <t>IBVS 5871</t>
  </si>
  <si>
    <t>II</t>
  </si>
  <si>
    <t>IBVS 5929</t>
  </si>
  <si>
    <t>IBVS 5920</t>
  </si>
  <si>
    <t>IBVS 5960</t>
  </si>
  <si>
    <t>Add cycle</t>
  </si>
  <si>
    <t>Old Cycle</t>
  </si>
  <si>
    <t>IBVS 5151</t>
  </si>
  <si>
    <t>IBVS 6011</t>
  </si>
  <si>
    <t>IBVS 6042</t>
  </si>
  <si>
    <t>BAD?</t>
  </si>
  <si>
    <t>OEJV 0160</t>
  </si>
  <si>
    <t>IBVS 6131</t>
  </si>
  <si>
    <t>IBVS 5984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</si>
  <si>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</si>
  <si>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</si>
  <si>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</si>
  <si>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</si>
  <si>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</si>
  <si>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</si>
  <si>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</si>
  <si>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</si>
  <si>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</si>
  <si>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</si>
  <si>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</si>
  <si>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</si>
  <si>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2451926.4397 </t>
  </si>
  <si>
    <t> 16.01.2001 22:33 </t>
  </si>
  <si>
    <t> 0.0305 </t>
  </si>
  <si>
    <t>E </t>
  </si>
  <si>
    <t>?</t>
  </si>
  <si>
    <t> E.Blättler&amp;R.Diethelm </t>
  </si>
  <si>
    <t>IBVS 5151 </t>
  </si>
  <si>
    <t>2452001.3790 </t>
  </si>
  <si>
    <t> 01.04.2001 21:05 </t>
  </si>
  <si>
    <t> 0.0300 </t>
  </si>
  <si>
    <t>2452041.5100 </t>
  </si>
  <si>
    <t> 12.05.2001 00:14 </t>
  </si>
  <si>
    <t> 0.0283 </t>
  </si>
  <si>
    <t>2452058.4387 </t>
  </si>
  <si>
    <t> 28.05.2001 22:31 </t>
  </si>
  <si>
    <t> 0.0290 </t>
  </si>
  <si>
    <t>2452065.4768 </t>
  </si>
  <si>
    <t> 04.06.2001 23:26 </t>
  </si>
  <si>
    <t> 0.0296 </t>
  </si>
  <si>
    <t>2454071.3191 </t>
  </si>
  <si>
    <t> 01.12.2006 19:39 </t>
  </si>
  <si>
    <t> -0.0031 </t>
  </si>
  <si>
    <t>C </t>
  </si>
  <si>
    <t>o</t>
  </si>
  <si>
    <t> U. Schmidt </t>
  </si>
  <si>
    <t>BAVM 183 </t>
  </si>
  <si>
    <t>2454812.7353 </t>
  </si>
  <si>
    <t> 12.12.2008 05:38 </t>
  </si>
  <si>
    <t> 0.0039 </t>
  </si>
  <si>
    <t> R.Diethelm </t>
  </si>
  <si>
    <t>IBVS 5871 </t>
  </si>
  <si>
    <t>2455100.8897 </t>
  </si>
  <si>
    <t> 26.09.2009 09:21 </t>
  </si>
  <si>
    <t> 0.0016 </t>
  </si>
  <si>
    <t>IBVS 5920 </t>
  </si>
  <si>
    <t>2455170.6927 </t>
  </si>
  <si>
    <t> 05.12.2009 04:37 </t>
  </si>
  <si>
    <t> 0.0003 </t>
  </si>
  <si>
    <t> R.Nelson </t>
  </si>
  <si>
    <t>IBVS 5929 </t>
  </si>
  <si>
    <t>2455473.3031 </t>
  </si>
  <si>
    <t> 03.10.2010 19:16 </t>
  </si>
  <si>
    <t> -0.0014 </t>
  </si>
  <si>
    <t>-I</t>
  </si>
  <si>
    <t> F.Agerer </t>
  </si>
  <si>
    <t>BAVM 215 </t>
  </si>
  <si>
    <t>2455473.4952 </t>
  </si>
  <si>
    <t> 03.10.2010 23:53 </t>
  </si>
  <si>
    <t>7816</t>
  </si>
  <si>
    <t> 0.0005 </t>
  </si>
  <si>
    <t>2455542.7275 </t>
  </si>
  <si>
    <t> 12.12.2010 05:27 </t>
  </si>
  <si>
    <t>7998</t>
  </si>
  <si>
    <t> -0.0009 </t>
  </si>
  <si>
    <t>IBVS 5960 </t>
  </si>
  <si>
    <t>2455804.4469 </t>
  </si>
  <si>
    <t> 30.08.2011 22:43 </t>
  </si>
  <si>
    <t>8686</t>
  </si>
  <si>
    <t> -0.0001 </t>
  </si>
  <si>
    <t>BAVM 225 </t>
  </si>
  <si>
    <t>2455850.8534 </t>
  </si>
  <si>
    <t> 16.10.2011 08:28 </t>
  </si>
  <si>
    <t>8808</t>
  </si>
  <si>
    <t> -0.0030 </t>
  </si>
  <si>
    <t>IBVS 6011 </t>
  </si>
  <si>
    <t>2456155.56151 </t>
  </si>
  <si>
    <t> 16.08.2012 01:28 </t>
  </si>
  <si>
    <t>9609</t>
  </si>
  <si>
    <t> 0.00083 </t>
  </si>
  <si>
    <t>R</t>
  </si>
  <si>
    <t> K.Ho?kova </t>
  </si>
  <si>
    <t>OEJV 0160 </t>
  </si>
  <si>
    <t>2456203.8719 </t>
  </si>
  <si>
    <t> 03.10.2012 08:55 </t>
  </si>
  <si>
    <t>9736</t>
  </si>
  <si>
    <t> -0.0002 </t>
  </si>
  <si>
    <t>IBVS 6042 </t>
  </si>
  <si>
    <t>2457007.6716 </t>
  </si>
  <si>
    <t> 16.12.2014 04:07 </t>
  </si>
  <si>
    <t>11849</t>
  </si>
  <si>
    <t>IBVS 6131 </t>
  </si>
  <si>
    <t>IBVS 6261</t>
  </si>
  <si>
    <t>BAAVSSC195</t>
  </si>
  <si>
    <t>VSB, 108</t>
  </si>
  <si>
    <t>VSSC208</t>
  </si>
  <si>
    <t>OEJV 250</t>
  </si>
  <si>
    <t xml:space="preserve">Mag </t>
  </si>
  <si>
    <t>Next ToM-P</t>
  </si>
  <si>
    <t>Next ToM-S</t>
  </si>
  <si>
    <t>12.00-12.52</t>
  </si>
  <si>
    <t>BAAVSS 202, 43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</si>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</sst>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8" xfId="0" applyFont="1" applyBorder="1" applyAlignment="1">
      <alignment horizontal="center"/>
    </xf>
    <xf numFmtId="0" fontId="18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top"/>
    </xf>
    <xf numFmtId="0" fontId="39" fillId="0" borderId="0" xfId="0" applyFont="1" applyAlignment="1"/>
    <xf numFmtId="0" fontId="38" fillId="0" borderId="0" xfId="0" applyFont="1" applyAlignment="1"/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/>
    </xf>
    <xf numFmtId="0" fontId="37" fillId="0" borderId="0" xfId="43" applyFont="1"/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165" fontId="41" fillId="0" borderId="0" xfId="0" applyNumberFormat="1" applyFont="1" applyAlignment="1" applyProtection="1">
      <alignment horizontal="left" vertical="center" wrapText="1"/>
      <protection locked="0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0" fillId="25" borderId="18" xfId="0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right" vertical="top"/>
    </xf>
    <xf numFmtId="0" fontId="13" fillId="0" borderId="21" xfId="0" applyFont="1" applyBorder="1">
      <alignment vertical="top"/>
    </xf>
    <xf numFmtId="0" fontId="10" fillId="0" borderId="21" xfId="0" applyFont="1" applyBorder="1">
      <alignment vertical="top"/>
    </xf>
    <xf numFmtId="0" fontId="9" fillId="0" borderId="21" xfId="0" applyFont="1" applyBorder="1" applyAlignment="1"/>
    <xf numFmtId="22" fontId="9" fillId="0" borderId="21" xfId="0" applyNumberFormat="1" applyFont="1" applyBorder="1">
      <alignment vertical="top"/>
    </xf>
    <xf numFmtId="22" fontId="43" fillId="0" borderId="22" xfId="0" applyNumberFormat="1" applyFont="1" applyBorder="1" applyAlignment="1"/>
    <xf numFmtId="0" fontId="42" fillId="0" borderId="23" xfId="0" applyFont="1" applyBorder="1" applyAlignment="1">
      <alignment horizontal="right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Cas - O-C Diagr.</a:t>
            </a:r>
          </a:p>
        </c:rich>
      </c:tx>
      <c:layout>
        <c:manualLayout>
          <c:xMode val="edge"/>
          <c:yMode val="edge"/>
          <c:x val="0.385558583106267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4035127795846455"/>
          <c:w val="0.825613079019073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0-4714-92DB-C1314C79F0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0-4714-92DB-C1314C79F0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3.8456499969470315E-3</c:v>
                </c:pt>
                <c:pt idx="11">
                  <c:v>5.7450999956927262E-3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0-4714-92DB-C1314C79F0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>
                <a:noFill/>
              </a:ln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3.0205000075511634E-4</c:v>
                </c:pt>
                <c:pt idx="1">
                  <c:v>5.8534999698167667E-4</c:v>
                </c:pt>
                <c:pt idx="2">
                  <c:v>-7.3069999780273065E-4</c:v>
                </c:pt>
                <c:pt idx="3">
                  <c:v>1.203499996336177E-4</c:v>
                </c:pt>
                <c:pt idx="4">
                  <c:v>7.9999999434221536E-4</c:v>
                </c:pt>
                <c:pt idx="5">
                  <c:v>2.4269999994430691E-4</c:v>
                </c:pt>
                <c:pt idx="7">
                  <c:v>2.5557999979355372E-3</c:v>
                </c:pt>
                <c:pt idx="8">
                  <c:v>3.1225499988067895E-3</c:v>
                </c:pt>
                <c:pt idx="9">
                  <c:v>2.5206999998772517E-3</c:v>
                </c:pt>
                <c:pt idx="12">
                  <c:v>5.0448999973013997E-3</c:v>
                </c:pt>
                <c:pt idx="13">
                  <c:v>8.4881000002496876E-3</c:v>
                </c:pt>
                <c:pt idx="14">
                  <c:v>6.0538999969139695E-3</c:v>
                </c:pt>
                <c:pt idx="15">
                  <c:v>1.2882799994258676E-2</c:v>
                </c:pt>
                <c:pt idx="16">
                  <c:v>1.2333099992247298E-2</c:v>
                </c:pt>
                <c:pt idx="17">
                  <c:v>2.4508800001058262E-2</c:v>
                </c:pt>
                <c:pt idx="18">
                  <c:v>2.6893799993558787E-2</c:v>
                </c:pt>
                <c:pt idx="19">
                  <c:v>2.8021999998600222E-2</c:v>
                </c:pt>
                <c:pt idx="20">
                  <c:v>3.4769699996104464E-2</c:v>
                </c:pt>
                <c:pt idx="21">
                  <c:v>3.7209199996141251E-2</c:v>
                </c:pt>
                <c:pt idx="22">
                  <c:v>3.8716799805115443E-2</c:v>
                </c:pt>
                <c:pt idx="23">
                  <c:v>4.0716250201512594E-2</c:v>
                </c:pt>
                <c:pt idx="24">
                  <c:v>4.131744998448994E-2</c:v>
                </c:pt>
                <c:pt idx="25">
                  <c:v>4.1033349982171785E-2</c:v>
                </c:pt>
                <c:pt idx="26">
                  <c:v>3.9942800132848788E-2</c:v>
                </c:pt>
                <c:pt idx="27">
                  <c:v>4.0230099992186297E-2</c:v>
                </c:pt>
                <c:pt idx="28">
                  <c:v>4.1036549999262206E-2</c:v>
                </c:pt>
                <c:pt idx="29">
                  <c:v>4.3158449996553827E-2</c:v>
                </c:pt>
                <c:pt idx="30">
                  <c:v>4.1956200002459809E-2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0-4714-92DB-C1314C79F0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0-4714-92DB-C1314C79F0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0-4714-92DB-C1314C79F0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0-4714-92DB-C1314C79F0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1.7149687760695004E-2</c:v>
                </c:pt>
                <c:pt idx="8">
                  <c:v>1.8470297876185766E-2</c:v>
                </c:pt>
                <c:pt idx="9">
                  <c:v>1.8790208049377255E-2</c:v>
                </c:pt>
                <c:pt idx="10">
                  <c:v>2.0177066593103855E-2</c:v>
                </c:pt>
                <c:pt idx="11">
                  <c:v>2.0177938282949063E-2</c:v>
                </c:pt>
                <c:pt idx="12">
                  <c:v>2.0495233386604927E-2</c:v>
                </c:pt>
                <c:pt idx="13">
                  <c:v>2.1694678613611715E-2</c:v>
                </c:pt>
                <c:pt idx="14">
                  <c:v>2.1907370935842573E-2</c:v>
                </c:pt>
                <c:pt idx="15">
                  <c:v>2.3303818067866463E-2</c:v>
                </c:pt>
                <c:pt idx="16">
                  <c:v>2.3525227288549402E-2</c:v>
                </c:pt>
                <c:pt idx="17">
                  <c:v>2.7208988574400194E-2</c:v>
                </c:pt>
                <c:pt idx="18">
                  <c:v>2.8342185373171142E-2</c:v>
                </c:pt>
                <c:pt idx="19">
                  <c:v>2.8931447708532038E-2</c:v>
                </c:pt>
                <c:pt idx="20">
                  <c:v>3.170865155536607E-2</c:v>
                </c:pt>
                <c:pt idx="21">
                  <c:v>3.3547917128755836E-2</c:v>
                </c:pt>
                <c:pt idx="22">
                  <c:v>3.8924500094001384E-2</c:v>
                </c:pt>
                <c:pt idx="23">
                  <c:v>3.8925371783846592E-2</c:v>
                </c:pt>
                <c:pt idx="24">
                  <c:v>4.0159684604661718E-2</c:v>
                </c:pt>
                <c:pt idx="25">
                  <c:v>4.056240531314801E-2</c:v>
                </c:pt>
                <c:pt idx="26">
                  <c:v>4.0563277002993219E-2</c:v>
                </c:pt>
                <c:pt idx="27">
                  <c:v>4.1708677459597082E-2</c:v>
                </c:pt>
                <c:pt idx="28">
                  <c:v>4.1936188509196483E-2</c:v>
                </c:pt>
                <c:pt idx="29">
                  <c:v>4.3454672219549552E-2</c:v>
                </c:pt>
                <c:pt idx="30">
                  <c:v>4.3537482754844356E-2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0-4714-92DB-C1314C79F08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0-4714-92DB-C1314C79F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1400"/>
        <c:axId val="1"/>
      </c:scatterChart>
      <c:valAx>
        <c:axId val="73797140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103542234332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85558583106266"/>
          <c:y val="0.92397937099967764"/>
          <c:w val="0.6171662125340600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 Cas - O-C Diagr.</a:t>
            </a:r>
          </a:p>
        </c:rich>
      </c:tx>
      <c:layout>
        <c:manualLayout>
          <c:xMode val="edge"/>
          <c:yMode val="edge"/>
          <c:x val="0.3863951291802810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8831006631"/>
          <c:y val="0.13994189017784567"/>
          <c:w val="0.8340147135612159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4-482E-AD9C-36DFA6D78E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4-482E-AD9C-36DFA6D78E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0">
                  <c:v>3.8456499969470315E-3</c:v>
                </c:pt>
                <c:pt idx="11">
                  <c:v>5.7450999956927262E-3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4-482E-AD9C-36DFA6D78E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3.0205000075511634E-4</c:v>
                </c:pt>
                <c:pt idx="1">
                  <c:v>5.8534999698167667E-4</c:v>
                </c:pt>
                <c:pt idx="2">
                  <c:v>-7.3069999780273065E-4</c:v>
                </c:pt>
                <c:pt idx="3">
                  <c:v>1.203499996336177E-4</c:v>
                </c:pt>
                <c:pt idx="4">
                  <c:v>7.9999999434221536E-4</c:v>
                </c:pt>
                <c:pt idx="5">
                  <c:v>2.4269999994430691E-4</c:v>
                </c:pt>
                <c:pt idx="7">
                  <c:v>2.5557999979355372E-3</c:v>
                </c:pt>
                <c:pt idx="8">
                  <c:v>3.1225499988067895E-3</c:v>
                </c:pt>
                <c:pt idx="9">
                  <c:v>2.5206999998772517E-3</c:v>
                </c:pt>
                <c:pt idx="12">
                  <c:v>5.0448999973013997E-3</c:v>
                </c:pt>
                <c:pt idx="13">
                  <c:v>8.4881000002496876E-3</c:v>
                </c:pt>
                <c:pt idx="14">
                  <c:v>6.0538999969139695E-3</c:v>
                </c:pt>
                <c:pt idx="15">
                  <c:v>1.2882799994258676E-2</c:v>
                </c:pt>
                <c:pt idx="16">
                  <c:v>1.2333099992247298E-2</c:v>
                </c:pt>
                <c:pt idx="17">
                  <c:v>2.4508800001058262E-2</c:v>
                </c:pt>
                <c:pt idx="18">
                  <c:v>2.6893799993558787E-2</c:v>
                </c:pt>
                <c:pt idx="19">
                  <c:v>2.8021999998600222E-2</c:v>
                </c:pt>
                <c:pt idx="20">
                  <c:v>3.4769699996104464E-2</c:v>
                </c:pt>
                <c:pt idx="21">
                  <c:v>3.7209199996141251E-2</c:v>
                </c:pt>
                <c:pt idx="22">
                  <c:v>3.8716799805115443E-2</c:v>
                </c:pt>
                <c:pt idx="23">
                  <c:v>4.0716250201512594E-2</c:v>
                </c:pt>
                <c:pt idx="24">
                  <c:v>4.131744998448994E-2</c:v>
                </c:pt>
                <c:pt idx="25">
                  <c:v>4.1033349982171785E-2</c:v>
                </c:pt>
                <c:pt idx="26">
                  <c:v>3.9942800132848788E-2</c:v>
                </c:pt>
                <c:pt idx="27">
                  <c:v>4.0230099992186297E-2</c:v>
                </c:pt>
                <c:pt idx="28">
                  <c:v>4.1036549999262206E-2</c:v>
                </c:pt>
                <c:pt idx="29">
                  <c:v>4.3158449996553827E-2</c:v>
                </c:pt>
                <c:pt idx="30">
                  <c:v>4.1956200002459809E-2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4-482E-AD9C-36DFA6D78E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4-482E-AD9C-36DFA6D78E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4-482E-AD9C-36DFA6D78E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8.9999999999999998E-4</c:v>
                  </c:pt>
                  <c:pt idx="6">
                    <c:v>2.3999999999999998E-3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1.6000000000000001E-3</c:v>
                  </c:pt>
                  <c:pt idx="11">
                    <c:v>2.0999999999999999E-3</c:v>
                  </c:pt>
                  <c:pt idx="12">
                    <c:v>2.0000000000000001E-4</c:v>
                  </c:pt>
                  <c:pt idx="13">
                    <c:v>0</c:v>
                  </c:pt>
                  <c:pt idx="14">
                    <c:v>5.9999999999999995E-4</c:v>
                  </c:pt>
                  <c:pt idx="15">
                    <c:v>2.0000000000000001E-4</c:v>
                  </c:pt>
                  <c:pt idx="16">
                    <c:v>3.0000000000000003E-4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2.9999999999999997E-4</c:v>
                  </c:pt>
                  <c:pt idx="24">
                    <c:v>4.0000000000000002E-4</c:v>
                  </c:pt>
                  <c:pt idx="25">
                    <c:v>2E-3</c:v>
                  </c:pt>
                  <c:pt idx="26">
                    <c:v>1E-3</c:v>
                  </c:pt>
                  <c:pt idx="27">
                    <c:v>5.5000000000000003E-4</c:v>
                  </c:pt>
                  <c:pt idx="28">
                    <c:v>1.1E-4</c:v>
                  </c:pt>
                  <c:pt idx="29">
                    <c:v>1.1900000000000001E-3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4-482E-AD9C-36DFA6D78E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7">
                  <c:v>1.7149687760695004E-2</c:v>
                </c:pt>
                <c:pt idx="8">
                  <c:v>1.8470297876185766E-2</c:v>
                </c:pt>
                <c:pt idx="9">
                  <c:v>1.8790208049377255E-2</c:v>
                </c:pt>
                <c:pt idx="10">
                  <c:v>2.0177066593103855E-2</c:v>
                </c:pt>
                <c:pt idx="11">
                  <c:v>2.0177938282949063E-2</c:v>
                </c:pt>
                <c:pt idx="12">
                  <c:v>2.0495233386604927E-2</c:v>
                </c:pt>
                <c:pt idx="13">
                  <c:v>2.1694678613611715E-2</c:v>
                </c:pt>
                <c:pt idx="14">
                  <c:v>2.1907370935842573E-2</c:v>
                </c:pt>
                <c:pt idx="15">
                  <c:v>2.3303818067866463E-2</c:v>
                </c:pt>
                <c:pt idx="16">
                  <c:v>2.3525227288549402E-2</c:v>
                </c:pt>
                <c:pt idx="17">
                  <c:v>2.7208988574400194E-2</c:v>
                </c:pt>
                <c:pt idx="18">
                  <c:v>2.8342185373171142E-2</c:v>
                </c:pt>
                <c:pt idx="19">
                  <c:v>2.8931447708532038E-2</c:v>
                </c:pt>
                <c:pt idx="20">
                  <c:v>3.170865155536607E-2</c:v>
                </c:pt>
                <c:pt idx="21">
                  <c:v>3.3547917128755836E-2</c:v>
                </c:pt>
                <c:pt idx="22">
                  <c:v>3.8924500094001384E-2</c:v>
                </c:pt>
                <c:pt idx="23">
                  <c:v>3.8925371783846592E-2</c:v>
                </c:pt>
                <c:pt idx="24">
                  <c:v>4.0159684604661718E-2</c:v>
                </c:pt>
                <c:pt idx="25">
                  <c:v>4.056240531314801E-2</c:v>
                </c:pt>
                <c:pt idx="26">
                  <c:v>4.0563277002993219E-2</c:v>
                </c:pt>
                <c:pt idx="27">
                  <c:v>4.1708677459597082E-2</c:v>
                </c:pt>
                <c:pt idx="28">
                  <c:v>4.1936188509196483E-2</c:v>
                </c:pt>
                <c:pt idx="29">
                  <c:v>4.3454672219549552E-2</c:v>
                </c:pt>
                <c:pt idx="30">
                  <c:v>4.3537482754844356E-2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4-482E-AD9C-36DFA6D78EBF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-365.5</c:v>
                </c:pt>
                <c:pt idx="1">
                  <c:v>-168.5</c:v>
                </c:pt>
                <c:pt idx="2">
                  <c:v>-63</c:v>
                </c:pt>
                <c:pt idx="3">
                  <c:v>-18.5</c:v>
                </c:pt>
                <c:pt idx="4">
                  <c:v>0</c:v>
                </c:pt>
                <c:pt idx="5">
                  <c:v>1143</c:v>
                </c:pt>
                <c:pt idx="6">
                  <c:v>5273</c:v>
                </c:pt>
                <c:pt idx="7">
                  <c:v>7222</c:v>
                </c:pt>
                <c:pt idx="8">
                  <c:v>7979.5</c:v>
                </c:pt>
                <c:pt idx="9">
                  <c:v>8163</c:v>
                </c:pt>
                <c:pt idx="10">
                  <c:v>8958.5</c:v>
                </c:pt>
                <c:pt idx="11">
                  <c:v>8959</c:v>
                </c:pt>
                <c:pt idx="12">
                  <c:v>9141</c:v>
                </c:pt>
                <c:pt idx="13">
                  <c:v>9829</c:v>
                </c:pt>
                <c:pt idx="14">
                  <c:v>9951</c:v>
                </c:pt>
                <c:pt idx="15">
                  <c:v>10752</c:v>
                </c:pt>
                <c:pt idx="16">
                  <c:v>10879</c:v>
                </c:pt>
                <c:pt idx="17">
                  <c:v>12992</c:v>
                </c:pt>
                <c:pt idx="18">
                  <c:v>13642</c:v>
                </c:pt>
                <c:pt idx="19">
                  <c:v>13980</c:v>
                </c:pt>
                <c:pt idx="20">
                  <c:v>15573</c:v>
                </c:pt>
                <c:pt idx="21">
                  <c:v>16628</c:v>
                </c:pt>
                <c:pt idx="22">
                  <c:v>19712</c:v>
                </c:pt>
                <c:pt idx="23">
                  <c:v>19712.5</c:v>
                </c:pt>
                <c:pt idx="24">
                  <c:v>20420.5</c:v>
                </c:pt>
                <c:pt idx="25">
                  <c:v>20651.5</c:v>
                </c:pt>
                <c:pt idx="26">
                  <c:v>20652</c:v>
                </c:pt>
                <c:pt idx="27">
                  <c:v>21309</c:v>
                </c:pt>
                <c:pt idx="28">
                  <c:v>21439.5</c:v>
                </c:pt>
                <c:pt idx="29">
                  <c:v>22310.5</c:v>
                </c:pt>
                <c:pt idx="30">
                  <c:v>22358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6">
                  <c:v>-1.2142999999923632E-2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44-482E-AD9C-36DFA6D78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6080"/>
        <c:axId val="1"/>
      </c:scatterChart>
      <c:valAx>
        <c:axId val="73797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38005963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78259860374597"/>
          <c:y val="0.92419947506561673"/>
          <c:w val="0.6163273876479725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6C87074-5C39-C543-122B-ED85CF23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28574</xdr:colOff>
      <xdr:row>0</xdr:row>
      <xdr:rowOff>28575</xdr:rowOff>
    </xdr:from>
    <xdr:to>
      <xdr:col>27</xdr:col>
      <xdr:colOff>247649</xdr:colOff>
      <xdr:row>19</xdr:row>
      <xdr:rowOff>38100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F44CE5DE-2CA7-BF84-DB86-209551983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151" TargetMode="External"/><Relationship Id="rId7" Type="http://schemas.openxmlformats.org/officeDocument/2006/relationships/hyperlink" Target="http://www.konkoly.hu/cgi-bin/IBVS?5871" TargetMode="External"/><Relationship Id="rId12" Type="http://schemas.openxmlformats.org/officeDocument/2006/relationships/hyperlink" Target="http://www.konkoly.hu/cgi-bin/IBVS?5960" TargetMode="External"/><Relationship Id="rId17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151" TargetMode="External"/><Relationship Id="rId16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konkoly.hu/cgi-bin/IBVS?5151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151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5151" TargetMode="External"/><Relationship Id="rId9" Type="http://schemas.openxmlformats.org/officeDocument/2006/relationships/hyperlink" Target="http://www.konkoly.hu/cgi-bin/IBVS?5929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7.285156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37</v>
      </c>
    </row>
    <row r="2" spans="1:6">
      <c r="A2" t="s">
        <v>24</v>
      </c>
      <c r="B2" s="29" t="s">
        <v>38</v>
      </c>
      <c r="C2" s="3"/>
    </row>
    <row r="3" spans="1:6" ht="13.5" thickBot="1"/>
    <row r="4" spans="1:6" ht="14.25" thickTop="1" thickBot="1">
      <c r="A4" s="5" t="s">
        <v>36</v>
      </c>
      <c r="C4" s="8">
        <v>52500.274700000002</v>
      </c>
      <c r="D4" s="9">
        <v>0.38040109999999999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v>52065.476000000002</v>
      </c>
      <c r="D7" s="87" t="s">
        <v>157</v>
      </c>
    </row>
    <row r="8" spans="1:6">
      <c r="A8" t="s">
        <v>4</v>
      </c>
      <c r="C8">
        <v>0.38040109999999999</v>
      </c>
      <c r="D8" s="26" t="s">
        <v>157</v>
      </c>
    </row>
    <row r="9" spans="1:6">
      <c r="A9" s="24" t="s">
        <v>33</v>
      </c>
      <c r="B9" s="25">
        <v>38</v>
      </c>
      <c r="C9" s="22" t="str">
        <f>"F"&amp;B9</f>
        <v>F38</v>
      </c>
      <c r="D9" s="23" t="str">
        <f>"G"&amp;B9</f>
        <v>G38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1">
        <f ca="1">INTERCEPT(INDIRECT($D$9):G975,INDIRECT($C$9):F975)</f>
        <v>4.5589996365045585E-3</v>
      </c>
      <c r="D11" s="3"/>
      <c r="E11" s="12"/>
    </row>
    <row r="12" spans="1:6">
      <c r="A12" s="12" t="s">
        <v>17</v>
      </c>
      <c r="B12" s="12"/>
      <c r="C12" s="21">
        <f ca="1">SLOPE(INDIRECT($D$9):G975,INDIRECT($C$9):F975)</f>
        <v>1.7433796904168439E-6</v>
      </c>
      <c r="D12" s="3"/>
      <c r="E12" s="76" t="s">
        <v>152</v>
      </c>
      <c r="F12" s="77" t="s">
        <v>155</v>
      </c>
    </row>
    <row r="13" spans="1:6">
      <c r="A13" s="12" t="s">
        <v>19</v>
      </c>
      <c r="B13" s="12"/>
      <c r="C13" s="3" t="s">
        <v>14</v>
      </c>
      <c r="E13" s="78" t="s">
        <v>45</v>
      </c>
      <c r="F13" s="79">
        <v>1</v>
      </c>
    </row>
    <row r="14" spans="1:6">
      <c r="A14" s="12"/>
      <c r="B14" s="12"/>
      <c r="C14" s="12"/>
      <c r="E14" s="78" t="s">
        <v>31</v>
      </c>
      <c r="F14" s="80">
        <f ca="1">NOW()+15018.5+$C$5/24</f>
        <v>60678.855309722217</v>
      </c>
    </row>
    <row r="15" spans="1:6">
      <c r="A15" s="14" t="s">
        <v>18</v>
      </c>
      <c r="B15" s="12"/>
      <c r="C15" s="15">
        <f ca="1">(C7+C11)+(C8+C12)*INT(MAX(F21:F3516))</f>
        <v>60570.527331282756</v>
      </c>
      <c r="E15" s="78" t="s">
        <v>46</v>
      </c>
      <c r="F15" s="80">
        <f ca="1">ROUND(2*(F14-$C$7)/$C$8,0)/2+F13</f>
        <v>22644</v>
      </c>
    </row>
    <row r="16" spans="1:6">
      <c r="A16" s="17" t="s">
        <v>5</v>
      </c>
      <c r="B16" s="12"/>
      <c r="C16" s="18">
        <f ca="1">+C8+C12</f>
        <v>0.38040284337969044</v>
      </c>
      <c r="E16" s="78" t="s">
        <v>32</v>
      </c>
      <c r="F16" s="81">
        <f ca="1">ROUND(2*(F14-$C$15)/$C$16,0)/2+F13</f>
        <v>286</v>
      </c>
    </row>
    <row r="17" spans="1:21" ht="13.5" thickBot="1">
      <c r="A17" s="16" t="s">
        <v>28</v>
      </c>
      <c r="B17" s="12"/>
      <c r="C17" s="12">
        <f>COUNT(C21:C2174)</f>
        <v>31</v>
      </c>
      <c r="E17" s="78" t="s">
        <v>153</v>
      </c>
      <c r="F17" s="82">
        <f ca="1">+$C$15+$C$16*$F$16-15018.5-$C$5/24</f>
        <v>45661.218377822683</v>
      </c>
    </row>
    <row r="18" spans="1:21" ht="14.25" thickTop="1" thickBot="1">
      <c r="A18" s="17" t="s">
        <v>6</v>
      </c>
      <c r="B18" s="12"/>
      <c r="C18" s="19">
        <f ca="1">+C15</f>
        <v>60570.527331282756</v>
      </c>
      <c r="D18" s="20">
        <f ca="1">+C16</f>
        <v>0.38040284337969044</v>
      </c>
      <c r="E18" s="84" t="s">
        <v>154</v>
      </c>
      <c r="F18" s="83">
        <f ca="1">+($C$15+$C$16*$F$16)-($C$16/2)-15018.5-$C$5/24</f>
        <v>45661.028176400992</v>
      </c>
    </row>
    <row r="19" spans="1:21" ht="13.5" thickTop="1"/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36"/>
      <c r="U20" s="36" t="s">
        <v>50</v>
      </c>
    </row>
    <row r="21" spans="1:21">
      <c r="A21" s="32" t="s">
        <v>47</v>
      </c>
      <c r="B21" s="33" t="s">
        <v>41</v>
      </c>
      <c r="C21" s="32">
        <v>51926.439700000003</v>
      </c>
      <c r="D21" s="32">
        <v>8.9999999999999998E-4</v>
      </c>
      <c r="E21">
        <f t="shared" ref="E21:E47" si="0">+(C21-C$7)/C$8</f>
        <v>-365.49920596969821</v>
      </c>
      <c r="F21">
        <f t="shared" ref="F21:F48" si="1">ROUND(2*E21,0)/2</f>
        <v>-365.5</v>
      </c>
      <c r="G21">
        <f t="shared" ref="G21:G26" si="2">+C21-(C$7+F21*C$8)</f>
        <v>3.0205000075511634E-4</v>
      </c>
      <c r="K21">
        <f t="shared" ref="K21:K26" si="3">+G21</f>
        <v>3.0205000075511634E-4</v>
      </c>
      <c r="Q21" s="2">
        <f t="shared" ref="Q21:Q47" si="4">+C21-15018.5</f>
        <v>36907.939700000003</v>
      </c>
      <c r="R21" s="2"/>
    </row>
    <row r="22" spans="1:21">
      <c r="A22" s="32" t="s">
        <v>47</v>
      </c>
      <c r="B22" s="33" t="s">
        <v>41</v>
      </c>
      <c r="C22" s="32">
        <v>52001.379000000001</v>
      </c>
      <c r="D22" s="32">
        <v>8.0000000000000004E-4</v>
      </c>
      <c r="E22">
        <f t="shared" si="0"/>
        <v>-168.49846122948009</v>
      </c>
      <c r="F22">
        <f t="shared" si="1"/>
        <v>-168.5</v>
      </c>
      <c r="G22">
        <f t="shared" si="2"/>
        <v>5.8534999698167667E-4</v>
      </c>
      <c r="K22">
        <f t="shared" si="3"/>
        <v>5.8534999698167667E-4</v>
      </c>
      <c r="Q22" s="2">
        <f t="shared" si="4"/>
        <v>36982.879000000001</v>
      </c>
      <c r="R22" s="2"/>
    </row>
    <row r="23" spans="1:21">
      <c r="A23" s="32" t="s">
        <v>47</v>
      </c>
      <c r="B23" s="33" t="s">
        <v>34</v>
      </c>
      <c r="C23" s="32">
        <v>52041.51</v>
      </c>
      <c r="D23" s="32">
        <v>8.0000000000000004E-4</v>
      </c>
      <c r="E23">
        <f t="shared" si="0"/>
        <v>-63.001920867211872</v>
      </c>
      <c r="F23">
        <f t="shared" si="1"/>
        <v>-63</v>
      </c>
      <c r="G23">
        <f t="shared" si="2"/>
        <v>-7.3069999780273065E-4</v>
      </c>
      <c r="K23">
        <f t="shared" si="3"/>
        <v>-7.3069999780273065E-4</v>
      </c>
      <c r="Q23" s="2">
        <f t="shared" si="4"/>
        <v>37023.01</v>
      </c>
      <c r="R23" s="2"/>
    </row>
    <row r="24" spans="1:21">
      <c r="A24" s="32" t="s">
        <v>47</v>
      </c>
      <c r="B24" s="33" t="s">
        <v>41</v>
      </c>
      <c r="C24" s="32">
        <v>52058.438699999999</v>
      </c>
      <c r="D24" s="32">
        <v>6.9999999999999999E-4</v>
      </c>
      <c r="E24">
        <f t="shared" si="0"/>
        <v>-18.49968362342695</v>
      </c>
      <c r="F24">
        <f t="shared" si="1"/>
        <v>-18.5</v>
      </c>
      <c r="G24">
        <f t="shared" si="2"/>
        <v>1.203499996336177E-4</v>
      </c>
      <c r="K24">
        <f t="shared" si="3"/>
        <v>1.203499996336177E-4</v>
      </c>
      <c r="Q24" s="2">
        <f t="shared" si="4"/>
        <v>37039.938699999999</v>
      </c>
      <c r="R24" s="2"/>
    </row>
    <row r="25" spans="1:21">
      <c r="A25" s="32" t="s">
        <v>47</v>
      </c>
      <c r="B25" s="33" t="s">
        <v>34</v>
      </c>
      <c r="C25" s="32">
        <v>52065.476799999997</v>
      </c>
      <c r="D25" s="32">
        <v>8.9999999999999998E-4</v>
      </c>
      <c r="E25">
        <f t="shared" si="0"/>
        <v>2.1030433254325904E-3</v>
      </c>
      <c r="F25">
        <f t="shared" si="1"/>
        <v>0</v>
      </c>
      <c r="G25">
        <f t="shared" si="2"/>
        <v>7.9999999434221536E-4</v>
      </c>
      <c r="K25">
        <f t="shared" si="3"/>
        <v>7.9999999434221536E-4</v>
      </c>
      <c r="Q25" s="2">
        <f t="shared" si="4"/>
        <v>37046.976799999997</v>
      </c>
      <c r="R25" s="2"/>
      <c r="S25" s="37"/>
      <c r="U25" s="37"/>
    </row>
    <row r="26" spans="1:21">
      <c r="A26" s="28" t="s">
        <v>35</v>
      </c>
      <c r="B26" s="27" t="s">
        <v>34</v>
      </c>
      <c r="C26" s="28">
        <v>52500.274700000002</v>
      </c>
      <c r="D26" s="31"/>
      <c r="E26">
        <f t="shared" si="0"/>
        <v>1143.0006380107718</v>
      </c>
      <c r="F26">
        <f t="shared" si="1"/>
        <v>1143</v>
      </c>
      <c r="G26">
        <f t="shared" si="2"/>
        <v>2.4269999994430691E-4</v>
      </c>
      <c r="K26">
        <f t="shared" si="3"/>
        <v>2.4269999994430691E-4</v>
      </c>
      <c r="Q26" s="2">
        <f t="shared" si="4"/>
        <v>37481.774700000002</v>
      </c>
      <c r="R26" s="2"/>
      <c r="S26" s="37"/>
      <c r="U26" s="37"/>
    </row>
    <row r="27" spans="1:21">
      <c r="A27" s="28" t="s">
        <v>39</v>
      </c>
      <c r="B27" s="30" t="s">
        <v>34</v>
      </c>
      <c r="C27" s="28">
        <v>54071.319100000001</v>
      </c>
      <c r="D27" s="28">
        <v>2.3999999999999998E-3</v>
      </c>
      <c r="E27">
        <f t="shared" si="0"/>
        <v>5272.9687164416673</v>
      </c>
      <c r="F27">
        <f t="shared" si="1"/>
        <v>5273</v>
      </c>
      <c r="Q27" s="2">
        <f t="shared" si="4"/>
        <v>39052.819100000001</v>
      </c>
      <c r="R27" s="2"/>
      <c r="S27" s="37"/>
      <c r="U27" s="37">
        <v>-1.2142999999923632E-2</v>
      </c>
    </row>
    <row r="28" spans="1:21">
      <c r="A28" s="28" t="s">
        <v>40</v>
      </c>
      <c r="B28" s="27" t="s">
        <v>41</v>
      </c>
      <c r="C28" s="28">
        <v>54812.7353</v>
      </c>
      <c r="D28" s="28">
        <v>5.0000000000000001E-4</v>
      </c>
      <c r="E28">
        <f t="shared" si="0"/>
        <v>7222.0067186977058</v>
      </c>
      <c r="F28">
        <f t="shared" si="1"/>
        <v>7222</v>
      </c>
      <c r="G28">
        <f t="shared" ref="G28:G47" si="5">+C28-(C$7+F28*C$8)</f>
        <v>2.5557999979355372E-3</v>
      </c>
      <c r="K28">
        <f>+G28</f>
        <v>2.5557999979355372E-3</v>
      </c>
      <c r="O28">
        <f t="shared" ref="O28:O47" ca="1" si="6">+C$11+C$12*$F28</f>
        <v>1.7149687760695004E-2</v>
      </c>
      <c r="Q28" s="2">
        <f t="shared" si="4"/>
        <v>39794.2353</v>
      </c>
      <c r="R28" s="2"/>
      <c r="S28" s="37"/>
      <c r="U28" s="37"/>
    </row>
    <row r="29" spans="1:21">
      <c r="A29" s="32" t="s">
        <v>43</v>
      </c>
      <c r="B29" s="33" t="s">
        <v>41</v>
      </c>
      <c r="C29" s="32">
        <v>55100.8897</v>
      </c>
      <c r="D29" s="32">
        <v>5.9999999999999995E-4</v>
      </c>
      <c r="E29">
        <f t="shared" si="0"/>
        <v>7979.5082085724707</v>
      </c>
      <c r="F29">
        <f t="shared" si="1"/>
        <v>7979.5</v>
      </c>
      <c r="G29">
        <f t="shared" si="5"/>
        <v>3.1225499988067895E-3</v>
      </c>
      <c r="K29">
        <f>+G29</f>
        <v>3.1225499988067895E-3</v>
      </c>
      <c r="O29">
        <f t="shared" ca="1" si="6"/>
        <v>1.8470297876185766E-2</v>
      </c>
      <c r="Q29" s="2">
        <f t="shared" si="4"/>
        <v>40082.3897</v>
      </c>
      <c r="R29" s="2"/>
      <c r="S29" s="37"/>
      <c r="U29" s="37"/>
    </row>
    <row r="30" spans="1:21">
      <c r="A30" s="31" t="s">
        <v>42</v>
      </c>
      <c r="B30" s="34"/>
      <c r="C30" s="28">
        <v>55170.6927</v>
      </c>
      <c r="D30" s="28">
        <v>2.0000000000000001E-4</v>
      </c>
      <c r="E30">
        <f t="shared" si="0"/>
        <v>8163.0066264266779</v>
      </c>
      <c r="F30">
        <f t="shared" si="1"/>
        <v>8163</v>
      </c>
      <c r="G30">
        <f t="shared" si="5"/>
        <v>2.5206999998772517E-3</v>
      </c>
      <c r="K30">
        <f>+G30</f>
        <v>2.5206999998772517E-3</v>
      </c>
      <c r="O30">
        <f t="shared" ca="1" si="6"/>
        <v>1.8790208049377255E-2</v>
      </c>
      <c r="Q30" s="2">
        <f t="shared" si="4"/>
        <v>40152.1927</v>
      </c>
      <c r="R30" s="2"/>
      <c r="S30" s="37"/>
      <c r="U30" s="37"/>
    </row>
    <row r="31" spans="1:21">
      <c r="A31" s="38" t="s">
        <v>53</v>
      </c>
      <c r="B31" s="38"/>
      <c r="C31" s="39">
        <v>55473.303099999997</v>
      </c>
      <c r="D31" s="39">
        <v>1.6000000000000001E-3</v>
      </c>
      <c r="E31">
        <f t="shared" si="0"/>
        <v>8958.5101094607635</v>
      </c>
      <c r="F31">
        <f t="shared" si="1"/>
        <v>8958.5</v>
      </c>
      <c r="G31">
        <f t="shared" si="5"/>
        <v>3.8456499969470315E-3</v>
      </c>
      <c r="J31">
        <f>+G31</f>
        <v>3.8456499969470315E-3</v>
      </c>
      <c r="O31">
        <f t="shared" ca="1" si="6"/>
        <v>2.0177066593103855E-2</v>
      </c>
      <c r="Q31" s="2">
        <f t="shared" si="4"/>
        <v>40454.803099999997</v>
      </c>
      <c r="R31" s="2"/>
    </row>
    <row r="32" spans="1:21">
      <c r="A32" s="38" t="s">
        <v>53</v>
      </c>
      <c r="B32" s="38"/>
      <c r="C32" s="39">
        <v>55473.495199999998</v>
      </c>
      <c r="D32" s="39">
        <v>2.0999999999999999E-3</v>
      </c>
      <c r="E32">
        <f t="shared" si="0"/>
        <v>8959.0151027428547</v>
      </c>
      <c r="F32">
        <f t="shared" si="1"/>
        <v>8959</v>
      </c>
      <c r="G32">
        <f t="shared" si="5"/>
        <v>5.7450999956927262E-3</v>
      </c>
      <c r="J32">
        <f>+G32</f>
        <v>5.7450999956927262E-3</v>
      </c>
      <c r="O32">
        <f t="shared" ca="1" si="6"/>
        <v>2.0177938282949063E-2</v>
      </c>
      <c r="Q32" s="2">
        <f t="shared" si="4"/>
        <v>40454.995199999998</v>
      </c>
      <c r="R32" s="2"/>
    </row>
    <row r="33" spans="1:21">
      <c r="A33" s="35" t="s">
        <v>44</v>
      </c>
      <c r="B33" s="27" t="s">
        <v>34</v>
      </c>
      <c r="C33" s="28">
        <v>55542.727500000001</v>
      </c>
      <c r="D33" s="28">
        <v>2.0000000000000001E-4</v>
      </c>
      <c r="E33">
        <f t="shared" si="0"/>
        <v>9141.0132620541808</v>
      </c>
      <c r="F33">
        <f t="shared" si="1"/>
        <v>9141</v>
      </c>
      <c r="G33">
        <f t="shared" si="5"/>
        <v>5.0448999973013997E-3</v>
      </c>
      <c r="K33">
        <f t="shared" ref="K33:K47" si="7">+G33</f>
        <v>5.0448999973013997E-3</v>
      </c>
      <c r="O33">
        <f t="shared" ca="1" si="6"/>
        <v>2.0495233386604927E-2</v>
      </c>
      <c r="Q33" s="2">
        <f t="shared" si="4"/>
        <v>40524.227500000001</v>
      </c>
      <c r="R33" s="2"/>
      <c r="S33" s="37"/>
      <c r="U33" s="37"/>
    </row>
    <row r="34" spans="1:21">
      <c r="A34" s="53" t="s">
        <v>125</v>
      </c>
      <c r="B34" s="54" t="s">
        <v>34</v>
      </c>
      <c r="C34" s="53">
        <v>55804.446900000003</v>
      </c>
      <c r="D34" s="53" t="s">
        <v>65</v>
      </c>
      <c r="E34">
        <f t="shared" si="0"/>
        <v>9829.0223135527212</v>
      </c>
      <c r="F34">
        <f t="shared" si="1"/>
        <v>9829</v>
      </c>
      <c r="G34">
        <f t="shared" si="5"/>
        <v>8.4881000002496876E-3</v>
      </c>
      <c r="K34">
        <f t="shared" si="7"/>
        <v>8.4881000002496876E-3</v>
      </c>
      <c r="O34">
        <f t="shared" ca="1" si="6"/>
        <v>2.1694678613611715E-2</v>
      </c>
      <c r="Q34" s="2">
        <f t="shared" si="4"/>
        <v>40785.946900000003</v>
      </c>
      <c r="R34" s="2"/>
    </row>
    <row r="35" spans="1:21">
      <c r="A35" s="55" t="s">
        <v>48</v>
      </c>
      <c r="B35" s="56" t="s">
        <v>34</v>
      </c>
      <c r="C35" s="55">
        <v>55850.8534</v>
      </c>
      <c r="D35" s="55">
        <v>5.9999999999999995E-4</v>
      </c>
      <c r="E35">
        <f t="shared" si="0"/>
        <v>9951.0159145175912</v>
      </c>
      <c r="F35">
        <f t="shared" si="1"/>
        <v>9951</v>
      </c>
      <c r="G35">
        <f t="shared" si="5"/>
        <v>6.0538999969139695E-3</v>
      </c>
      <c r="K35">
        <f t="shared" si="7"/>
        <v>6.0538999969139695E-3</v>
      </c>
      <c r="O35">
        <f t="shared" ca="1" si="6"/>
        <v>2.1907370935842573E-2</v>
      </c>
      <c r="Q35" s="2">
        <f t="shared" si="4"/>
        <v>40832.3534</v>
      </c>
      <c r="R35" s="2"/>
      <c r="S35" s="37"/>
      <c r="U35" s="37"/>
    </row>
    <row r="36" spans="1:21">
      <c r="A36" s="57" t="s">
        <v>51</v>
      </c>
      <c r="B36" s="54" t="s">
        <v>34</v>
      </c>
      <c r="C36" s="53">
        <v>56155.56151</v>
      </c>
      <c r="D36" s="53">
        <v>2.0000000000000001E-4</v>
      </c>
      <c r="E36">
        <f t="shared" si="0"/>
        <v>10752.033866358423</v>
      </c>
      <c r="F36">
        <f t="shared" si="1"/>
        <v>10752</v>
      </c>
      <c r="G36">
        <f t="shared" si="5"/>
        <v>1.2882799994258676E-2</v>
      </c>
      <c r="K36">
        <f t="shared" si="7"/>
        <v>1.2882799994258676E-2</v>
      </c>
      <c r="O36">
        <f t="shared" ca="1" si="6"/>
        <v>2.3303818067866463E-2</v>
      </c>
      <c r="Q36" s="2">
        <f t="shared" si="4"/>
        <v>41137.06151</v>
      </c>
      <c r="R36" s="2"/>
      <c r="S36" s="37"/>
      <c r="U36" s="37"/>
    </row>
    <row r="37" spans="1:21">
      <c r="A37" s="57" t="s">
        <v>49</v>
      </c>
      <c r="B37" s="54" t="s">
        <v>34</v>
      </c>
      <c r="C37" s="53">
        <v>56203.871899999998</v>
      </c>
      <c r="D37" s="53">
        <v>3.0000000000000003E-4</v>
      </c>
      <c r="E37">
        <f t="shared" si="0"/>
        <v>10879.032421304764</v>
      </c>
      <c r="F37">
        <f t="shared" si="1"/>
        <v>10879</v>
      </c>
      <c r="G37">
        <f t="shared" si="5"/>
        <v>1.2333099992247298E-2</v>
      </c>
      <c r="K37">
        <f t="shared" si="7"/>
        <v>1.2333099992247298E-2</v>
      </c>
      <c r="O37">
        <f t="shared" ca="1" si="6"/>
        <v>2.3525227288549402E-2</v>
      </c>
      <c r="Q37" s="2">
        <f t="shared" si="4"/>
        <v>41185.371899999998</v>
      </c>
      <c r="R37" s="2"/>
      <c r="S37" s="37"/>
      <c r="U37" s="37"/>
    </row>
    <row r="38" spans="1:21">
      <c r="A38" s="58" t="s">
        <v>52</v>
      </c>
      <c r="B38" s="59"/>
      <c r="C38" s="53">
        <v>57007.671600000001</v>
      </c>
      <c r="D38" s="53">
        <v>2.0000000000000001E-4</v>
      </c>
      <c r="E38">
        <f t="shared" si="0"/>
        <v>12992.064428835771</v>
      </c>
      <c r="F38">
        <f t="shared" si="1"/>
        <v>12992</v>
      </c>
      <c r="G38">
        <f t="shared" si="5"/>
        <v>2.4508800001058262E-2</v>
      </c>
      <c r="K38">
        <f t="shared" si="7"/>
        <v>2.4508800001058262E-2</v>
      </c>
      <c r="O38">
        <f t="shared" ca="1" si="6"/>
        <v>2.7208988574400194E-2</v>
      </c>
      <c r="Q38" s="2">
        <f t="shared" si="4"/>
        <v>41989.171600000001</v>
      </c>
      <c r="R38" s="2"/>
    </row>
    <row r="39" spans="1:21">
      <c r="A39" s="58" t="s">
        <v>54</v>
      </c>
      <c r="B39" s="59"/>
      <c r="C39" s="53">
        <v>57254.934699999998</v>
      </c>
      <c r="D39" s="53">
        <v>1E-4</v>
      </c>
      <c r="E39">
        <f t="shared" si="0"/>
        <v>13642.07069853372</v>
      </c>
      <c r="F39">
        <f t="shared" si="1"/>
        <v>13642</v>
      </c>
      <c r="G39">
        <f t="shared" si="5"/>
        <v>2.6893799993558787E-2</v>
      </c>
      <c r="K39">
        <f t="shared" si="7"/>
        <v>2.6893799993558787E-2</v>
      </c>
      <c r="O39">
        <f t="shared" ca="1" si="6"/>
        <v>2.8342185373171142E-2</v>
      </c>
      <c r="Q39" s="2">
        <f t="shared" si="4"/>
        <v>42236.434699999998</v>
      </c>
      <c r="R39" s="2"/>
    </row>
    <row r="40" spans="1:21">
      <c r="A40" s="60" t="s">
        <v>1</v>
      </c>
      <c r="B40" s="61" t="s">
        <v>34</v>
      </c>
      <c r="C40" s="62">
        <v>57383.511400000003</v>
      </c>
      <c r="D40" s="62">
        <v>1E-4</v>
      </c>
      <c r="E40">
        <f t="shared" si="0"/>
        <v>13980.073664350604</v>
      </c>
      <c r="F40">
        <f t="shared" si="1"/>
        <v>13980</v>
      </c>
      <c r="G40">
        <f t="shared" si="5"/>
        <v>2.8021999998600222E-2</v>
      </c>
      <c r="K40">
        <f t="shared" si="7"/>
        <v>2.8021999998600222E-2</v>
      </c>
      <c r="O40">
        <f t="shared" ca="1" si="6"/>
        <v>2.8931447708532038E-2</v>
      </c>
      <c r="Q40" s="2">
        <f t="shared" si="4"/>
        <v>42365.011400000003</v>
      </c>
    </row>
    <row r="41" spans="1:21">
      <c r="A41" s="64" t="s">
        <v>0</v>
      </c>
      <c r="B41" s="65" t="s">
        <v>34</v>
      </c>
      <c r="C41" s="66">
        <v>57989.497100000001</v>
      </c>
      <c r="D41" s="66">
        <v>1E-3</v>
      </c>
      <c r="E41">
        <f t="shared" si="0"/>
        <v>15573.091402732533</v>
      </c>
      <c r="F41">
        <f t="shared" si="1"/>
        <v>15573</v>
      </c>
      <c r="G41">
        <f t="shared" si="5"/>
        <v>3.4769699996104464E-2</v>
      </c>
      <c r="K41">
        <f t="shared" si="7"/>
        <v>3.4769699996104464E-2</v>
      </c>
      <c r="O41">
        <f t="shared" ca="1" si="6"/>
        <v>3.170865155536607E-2</v>
      </c>
      <c r="Q41" s="2">
        <f t="shared" si="4"/>
        <v>42970.997100000001</v>
      </c>
    </row>
    <row r="42" spans="1:21">
      <c r="A42" s="58" t="s">
        <v>147</v>
      </c>
      <c r="B42" s="59"/>
      <c r="C42" s="63">
        <v>58390.822699999997</v>
      </c>
      <c r="D42" s="53">
        <v>2.9999999999999997E-4</v>
      </c>
      <c r="E42">
        <f t="shared" si="0"/>
        <v>16628.097815700308</v>
      </c>
      <c r="F42">
        <f t="shared" si="1"/>
        <v>16628</v>
      </c>
      <c r="G42">
        <f t="shared" si="5"/>
        <v>3.7209199996141251E-2</v>
      </c>
      <c r="K42">
        <f t="shared" si="7"/>
        <v>3.7209199996141251E-2</v>
      </c>
      <c r="O42">
        <f t="shared" ca="1" si="6"/>
        <v>3.3547917128755836E-2</v>
      </c>
      <c r="Q42" s="2">
        <f t="shared" si="4"/>
        <v>43372.322699999997</v>
      </c>
    </row>
    <row r="43" spans="1:21">
      <c r="A43" s="69" t="s">
        <v>149</v>
      </c>
      <c r="B43" s="70" t="s">
        <v>41</v>
      </c>
      <c r="C43" s="73">
        <v>59563.981199999806</v>
      </c>
      <c r="D43" s="10"/>
      <c r="E43">
        <f t="shared" si="0"/>
        <v>19712.101778884982</v>
      </c>
      <c r="F43">
        <f t="shared" si="1"/>
        <v>19712</v>
      </c>
      <c r="G43">
        <f t="shared" si="5"/>
        <v>3.8716799805115443E-2</v>
      </c>
      <c r="K43">
        <f t="shared" si="7"/>
        <v>3.8716799805115443E-2</v>
      </c>
      <c r="O43">
        <f t="shared" ca="1" si="6"/>
        <v>3.8924500094001384E-2</v>
      </c>
      <c r="Q43" s="2">
        <f t="shared" si="4"/>
        <v>44545.481199999806</v>
      </c>
    </row>
    <row r="44" spans="1:21">
      <c r="A44" s="69" t="s">
        <v>149</v>
      </c>
      <c r="B44" s="70" t="s">
        <v>34</v>
      </c>
      <c r="C44" s="73">
        <v>59564.173400000203</v>
      </c>
      <c r="D44" s="10"/>
      <c r="E44">
        <f t="shared" si="0"/>
        <v>19712.607035048535</v>
      </c>
      <c r="F44">
        <f t="shared" si="1"/>
        <v>19712.5</v>
      </c>
      <c r="G44">
        <f t="shared" si="5"/>
        <v>4.0716250201512594E-2</v>
      </c>
      <c r="K44">
        <f t="shared" si="7"/>
        <v>4.0716250201512594E-2</v>
      </c>
      <c r="O44">
        <f t="shared" ca="1" si="6"/>
        <v>3.8925371783846592E-2</v>
      </c>
      <c r="Q44" s="2">
        <f t="shared" si="4"/>
        <v>44545.673400000203</v>
      </c>
    </row>
    <row r="45" spans="1:21">
      <c r="A45" s="67" t="s">
        <v>148</v>
      </c>
      <c r="B45" s="68" t="s">
        <v>41</v>
      </c>
      <c r="C45" s="74">
        <v>59833.497979999986</v>
      </c>
      <c r="D45" s="74">
        <v>4.0000000000000002E-4</v>
      </c>
      <c r="E45">
        <f t="shared" si="0"/>
        <v>20420.608615485031</v>
      </c>
      <c r="F45">
        <f t="shared" si="1"/>
        <v>20420.5</v>
      </c>
      <c r="G45">
        <f t="shared" si="5"/>
        <v>4.131744998448994E-2</v>
      </c>
      <c r="K45">
        <f t="shared" si="7"/>
        <v>4.131744998448994E-2</v>
      </c>
      <c r="O45">
        <f t="shared" ca="1" si="6"/>
        <v>4.0159684604661718E-2</v>
      </c>
      <c r="Q45" s="2">
        <f t="shared" si="4"/>
        <v>44814.997979999986</v>
      </c>
    </row>
    <row r="46" spans="1:21">
      <c r="A46" s="67" t="s">
        <v>148</v>
      </c>
      <c r="B46" s="68" t="s">
        <v>41</v>
      </c>
      <c r="C46" s="74">
        <v>59921.370349999983</v>
      </c>
      <c r="D46" s="74">
        <v>2E-3</v>
      </c>
      <c r="E46">
        <f t="shared" si="0"/>
        <v>20651.60786864176</v>
      </c>
      <c r="F46">
        <f t="shared" si="1"/>
        <v>20651.5</v>
      </c>
      <c r="G46">
        <f t="shared" si="5"/>
        <v>4.1033349982171785E-2</v>
      </c>
      <c r="K46">
        <f t="shared" si="7"/>
        <v>4.1033349982171785E-2</v>
      </c>
      <c r="O46">
        <f t="shared" ca="1" si="6"/>
        <v>4.056240531314801E-2</v>
      </c>
      <c r="Q46" s="2">
        <f t="shared" si="4"/>
        <v>44902.870349999983</v>
      </c>
    </row>
    <row r="47" spans="1:21">
      <c r="A47" s="67" t="s">
        <v>148</v>
      </c>
      <c r="B47" s="68" t="s">
        <v>34</v>
      </c>
      <c r="C47" s="74">
        <v>59921.559460000135</v>
      </c>
      <c r="D47" s="74">
        <v>1E-3</v>
      </c>
      <c r="E47">
        <f t="shared" si="0"/>
        <v>20652.105001799766</v>
      </c>
      <c r="F47">
        <f t="shared" si="1"/>
        <v>20652</v>
      </c>
      <c r="G47">
        <f t="shared" si="5"/>
        <v>3.9942800132848788E-2</v>
      </c>
      <c r="K47">
        <f t="shared" si="7"/>
        <v>3.9942800132848788E-2</v>
      </c>
      <c r="O47">
        <f t="shared" ca="1" si="6"/>
        <v>4.0563277002993219E-2</v>
      </c>
      <c r="Q47" s="2">
        <f t="shared" si="4"/>
        <v>44903.059460000135</v>
      </c>
    </row>
    <row r="48" spans="1:21">
      <c r="A48" s="71" t="s">
        <v>150</v>
      </c>
      <c r="B48" s="72" t="s">
        <v>34</v>
      </c>
      <c r="C48" s="73">
        <v>60171.483269999997</v>
      </c>
      <c r="D48" s="73">
        <v>5.5000000000000003E-4</v>
      </c>
      <c r="E48">
        <f t="shared" ref="E48" si="8">+(C48-C$7)/C$8</f>
        <v>21309.105757054844</v>
      </c>
      <c r="F48">
        <f t="shared" si="1"/>
        <v>21309</v>
      </c>
      <c r="G48">
        <f t="shared" ref="G48" si="9">+C48-(C$7+F48*C$8)</f>
        <v>4.0230099992186297E-2</v>
      </c>
      <c r="K48">
        <f t="shared" ref="K48" si="10">+G48</f>
        <v>4.0230099992186297E-2</v>
      </c>
      <c r="O48">
        <f t="shared" ref="O48" ca="1" si="11">+C$11+C$12*$F48</f>
        <v>4.1708677459597082E-2</v>
      </c>
      <c r="Q48" s="2">
        <f t="shared" ref="Q48" si="12">+C48-15018.5</f>
        <v>45152.983269999997</v>
      </c>
    </row>
    <row r="49" spans="1:17">
      <c r="A49" s="67" t="s">
        <v>151</v>
      </c>
      <c r="B49" s="68" t="s">
        <v>41</v>
      </c>
      <c r="C49" s="75">
        <v>60221.126420000001</v>
      </c>
      <c r="D49" s="75">
        <v>1.1E-4</v>
      </c>
      <c r="E49">
        <f t="shared" ref="E49" si="13">+(C49-C$7)/C$8</f>
        <v>21439.607877053979</v>
      </c>
      <c r="F49">
        <f t="shared" ref="F49" si="14">ROUND(2*E49,0)/2</f>
        <v>21439.5</v>
      </c>
      <c r="G49">
        <f t="shared" ref="G49" si="15">+C49-(C$7+F49*C$8)</f>
        <v>4.1036549999262206E-2</v>
      </c>
      <c r="K49">
        <f t="shared" ref="K49" si="16">+G49</f>
        <v>4.1036549999262206E-2</v>
      </c>
      <c r="O49">
        <f t="shared" ref="O49" ca="1" si="17">+C$11+C$12*$F49</f>
        <v>4.1936188509196483E-2</v>
      </c>
      <c r="Q49" s="2">
        <f t="shared" ref="Q49" si="18">+C49-15018.5</f>
        <v>45202.626420000001</v>
      </c>
    </row>
    <row r="50" spans="1:17">
      <c r="A50" s="85" t="s">
        <v>156</v>
      </c>
      <c r="B50" s="86" t="s">
        <v>41</v>
      </c>
      <c r="C50" s="73">
        <v>60552.457900000001</v>
      </c>
      <c r="D50" s="85">
        <v>1.1900000000000001E-3</v>
      </c>
      <c r="E50">
        <f t="shared" ref="E50:E51" si="19">+(C50-C$7)/C$8</f>
        <v>22310.613455113562</v>
      </c>
      <c r="F50">
        <f t="shared" ref="F50:F51" si="20">ROUND(2*E50,0)/2</f>
        <v>22310.5</v>
      </c>
      <c r="G50">
        <f t="shared" ref="G50:G51" si="21">+C50-(C$7+F50*C$8)</f>
        <v>4.3158449996553827E-2</v>
      </c>
      <c r="K50">
        <f t="shared" ref="K50:K51" si="22">+G50</f>
        <v>4.3158449996553827E-2</v>
      </c>
      <c r="O50">
        <f t="shared" ref="O50:O51" ca="1" si="23">+C$11+C$12*$F50</f>
        <v>4.3454672219549552E-2</v>
      </c>
      <c r="Q50" s="2">
        <f t="shared" ref="Q50:Q51" si="24">+C50-15018.5</f>
        <v>45533.957900000001</v>
      </c>
    </row>
    <row r="51" spans="1:17">
      <c r="A51" s="85" t="s">
        <v>156</v>
      </c>
      <c r="B51" s="86" t="s">
        <v>34</v>
      </c>
      <c r="C51" s="73">
        <v>60570.525750000001</v>
      </c>
      <c r="D51" s="85">
        <v>2.0000000000000001E-4</v>
      </c>
      <c r="E51">
        <f t="shared" si="19"/>
        <v>22358.110294633738</v>
      </c>
      <c r="F51">
        <f t="shared" si="20"/>
        <v>22358</v>
      </c>
      <c r="G51">
        <f t="shared" si="21"/>
        <v>4.1956200002459809E-2</v>
      </c>
      <c r="K51">
        <f t="shared" si="22"/>
        <v>4.1956200002459809E-2</v>
      </c>
      <c r="O51">
        <f t="shared" ca="1" si="23"/>
        <v>4.3537482754844356E-2</v>
      </c>
      <c r="Q51" s="2">
        <f t="shared" si="24"/>
        <v>45552.025750000001</v>
      </c>
    </row>
    <row r="52" spans="1:17">
      <c r="C52" s="10"/>
      <c r="D52" s="10"/>
    </row>
    <row r="53" spans="1:17">
      <c r="C53" s="10"/>
      <c r="D53" s="10"/>
    </row>
    <row r="54" spans="1:17">
      <c r="C54" s="10"/>
      <c r="D54" s="10"/>
    </row>
    <row r="55" spans="1:17">
      <c r="C55" s="10"/>
      <c r="D55" s="10"/>
    </row>
    <row r="56" spans="1:17">
      <c r="C56" s="10"/>
      <c r="D56" s="10"/>
    </row>
    <row r="57" spans="1:17">
      <c r="C57" s="10"/>
      <c r="D57" s="10"/>
    </row>
    <row r="58" spans="1:17">
      <c r="C58" s="10"/>
      <c r="D58" s="10"/>
    </row>
    <row r="59" spans="1:17">
      <c r="C59" s="10"/>
      <c r="D59" s="10"/>
    </row>
    <row r="60" spans="1:17">
      <c r="C60" s="10"/>
      <c r="D60" s="10"/>
    </row>
    <row r="61" spans="1:17">
      <c r="C61" s="10"/>
      <c r="D61" s="10"/>
    </row>
    <row r="62" spans="1:17">
      <c r="C62" s="10"/>
      <c r="D62" s="10"/>
    </row>
    <row r="63" spans="1:17">
      <c r="C63" s="10"/>
      <c r="D63" s="10"/>
    </row>
    <row r="64" spans="1:17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ortState xmlns:xlrd2="http://schemas.microsoft.com/office/spreadsheetml/2017/richdata2" ref="A21:V50">
    <sortCondition ref="C21:C50"/>
  </sortState>
  <phoneticPr fontId="8" type="noConversion"/>
  <hyperlinks>
    <hyperlink ref="H2201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AP1433" r:id="rId4" display="http://cdsbib.u-strasbg.fr/cgi-bin/cdsbib?1990RMxAA..21..381G" xr:uid="{00000000-0004-0000-0000-000003000000}"/>
    <hyperlink ref="AP1430" r:id="rId5" display="http://cdsbib.u-strasbg.fr/cgi-bin/cdsbib?1990RMxAA..21..381G" xr:uid="{00000000-0004-0000-0000-000004000000}"/>
    <hyperlink ref="AP1432" r:id="rId6" display="http://cdsbib.u-strasbg.fr/cgi-bin/cdsbib?1990RMxAA..21..381G" xr:uid="{00000000-0004-0000-0000-000005000000}"/>
    <hyperlink ref="AP1408" r:id="rId7" display="http://cdsbib.u-strasbg.fr/cgi-bin/cdsbib?1990RMxAA..21..381G" xr:uid="{00000000-0004-0000-0000-000006000000}"/>
    <hyperlink ref="I64582" r:id="rId8" display="http://vsolj.cetus-net.org/bulletin.html" xr:uid="{00000000-0004-0000-0000-000007000000}"/>
    <hyperlink ref="AQ1569" r:id="rId9" display="http://cdsbib.u-strasbg.fr/cgi-bin/cdsbib?1990RMxAA..21..381G" xr:uid="{00000000-0004-0000-0000-000008000000}"/>
    <hyperlink ref="AQ3213" r:id="rId10" display="http://cdsbib.u-strasbg.fr/cgi-bin/cdsbib?1990RMxAA..21..381G" xr:uid="{00000000-0004-0000-0000-000009000000}"/>
    <hyperlink ref="AQ1570" r:id="rId11" display="http://cdsbib.u-strasbg.fr/cgi-bin/cdsbib?1990RMxAA..21..381G" xr:uid="{00000000-0004-0000-0000-00000A000000}"/>
    <hyperlink ref="H64579" r:id="rId12" display="https://www.aavso.org/ejaavso" xr:uid="{00000000-0004-0000-0000-00000B000000}"/>
    <hyperlink ref="H2420" r:id="rId13" display="http://vsolj.cetus-net.org/bulletin.html" xr:uid="{00000000-0004-0000-0000-00000C000000}"/>
    <hyperlink ref="AP5658" r:id="rId14" display="http://cdsbib.u-strasbg.fr/cgi-bin/cdsbib?1990RMxAA..21..381G" xr:uid="{00000000-0004-0000-0000-00000D000000}"/>
    <hyperlink ref="AP5661" r:id="rId15" display="http://cdsbib.u-strasbg.fr/cgi-bin/cdsbib?1990RMxAA..21..381G" xr:uid="{00000000-0004-0000-0000-00000E000000}"/>
    <hyperlink ref="AP5659" r:id="rId16" display="http://cdsbib.u-strasbg.fr/cgi-bin/cdsbib?1990RMxAA..21..381G" xr:uid="{00000000-0004-0000-0000-00000F000000}"/>
    <hyperlink ref="AP5637" r:id="rId17" display="http://cdsbib.u-strasbg.fr/cgi-bin/cdsbib?1990RMxAA..21..381G" xr:uid="{00000000-0004-0000-0000-000010000000}"/>
    <hyperlink ref="I2420" r:id="rId18" display="http://vsolj.cetus-net.org/bulletin.html" xr:uid="{00000000-0004-0000-0000-000011000000}"/>
    <hyperlink ref="AQ5771" r:id="rId19" display="http://cdsbib.u-strasbg.fr/cgi-bin/cdsbib?1990RMxAA..21..381G" xr:uid="{00000000-0004-0000-0000-000012000000}"/>
    <hyperlink ref="AQ323" r:id="rId20" display="http://cdsbib.u-strasbg.fr/cgi-bin/cdsbib?1990RMxAA..21..381G" xr:uid="{00000000-0004-0000-0000-000013000000}"/>
    <hyperlink ref="AQ5772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5"/>
  <sheetViews>
    <sheetView topLeftCell="A4" workbookViewId="0">
      <selection activeCell="A27" sqref="A27:D27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0" t="s">
        <v>55</v>
      </c>
      <c r="I1" s="41" t="s">
        <v>56</v>
      </c>
      <c r="J1" s="42" t="s">
        <v>57</v>
      </c>
    </row>
    <row r="2" spans="1:16">
      <c r="I2" s="43" t="s">
        <v>58</v>
      </c>
      <c r="J2" s="44" t="s">
        <v>59</v>
      </c>
    </row>
    <row r="3" spans="1:16">
      <c r="A3" s="45" t="s">
        <v>60</v>
      </c>
      <c r="I3" s="43" t="s">
        <v>61</v>
      </c>
      <c r="J3" s="44" t="s">
        <v>62</v>
      </c>
    </row>
    <row r="4" spans="1:16">
      <c r="I4" s="43" t="s">
        <v>63</v>
      </c>
      <c r="J4" s="44" t="s">
        <v>62</v>
      </c>
    </row>
    <row r="5" spans="1:16" ht="13.5" thickBot="1">
      <c r="I5" s="46" t="s">
        <v>64</v>
      </c>
      <c r="J5" s="47" t="s">
        <v>65</v>
      </c>
    </row>
    <row r="10" spans="1:16" ht="13.5" thickBot="1"/>
    <row r="11" spans="1:16" ht="12.75" customHeight="1" thickBot="1">
      <c r="A11" s="10" t="str">
        <f t="shared" ref="A11:A27" si="0">P11</f>
        <v>IBVS 5151 </v>
      </c>
      <c r="B11" s="3" t="str">
        <f t="shared" ref="B11:B27" si="1">IF(H11=INT(H11),"I","II")</f>
        <v>II</v>
      </c>
      <c r="C11" s="10">
        <f t="shared" ref="C11:C27" si="2">1*G11</f>
        <v>51926.439700000003</v>
      </c>
      <c r="D11" s="12" t="str">
        <f t="shared" ref="D11:D27" si="3">VLOOKUP(F11,I$1:J$5,2,FALSE)</f>
        <v>vis</v>
      </c>
      <c r="E11" s="48">
        <f>VLOOKUP(C11,Active!C$21:E$973,3,FALSE)</f>
        <v>-365.49920596969821</v>
      </c>
      <c r="F11" s="3" t="s">
        <v>64</v>
      </c>
      <c r="G11" s="12" t="str">
        <f t="shared" ref="G11:G27" si="4">MID(I11,3,LEN(I11)-3)</f>
        <v>51926.4397</v>
      </c>
      <c r="H11" s="10">
        <f t="shared" ref="H11:H27" si="5">1*K11</f>
        <v>-1508.5</v>
      </c>
      <c r="I11" s="49" t="s">
        <v>66</v>
      </c>
      <c r="J11" s="50" t="s">
        <v>67</v>
      </c>
      <c r="K11" s="49">
        <v>-1508.5</v>
      </c>
      <c r="L11" s="49" t="s">
        <v>68</v>
      </c>
      <c r="M11" s="50" t="s">
        <v>69</v>
      </c>
      <c r="N11" s="50" t="s">
        <v>70</v>
      </c>
      <c r="O11" s="51" t="s">
        <v>71</v>
      </c>
      <c r="P11" s="52" t="s">
        <v>72</v>
      </c>
    </row>
    <row r="12" spans="1:16" ht="12.75" customHeight="1" thickBot="1">
      <c r="A12" s="10" t="str">
        <f t="shared" si="0"/>
        <v>IBVS 5151 </v>
      </c>
      <c r="B12" s="3" t="str">
        <f t="shared" si="1"/>
        <v>II</v>
      </c>
      <c r="C12" s="10">
        <f t="shared" si="2"/>
        <v>52001.379000000001</v>
      </c>
      <c r="D12" s="12" t="str">
        <f t="shared" si="3"/>
        <v>vis</v>
      </c>
      <c r="E12" s="48">
        <f>VLOOKUP(C12,Active!C$21:E$973,3,FALSE)</f>
        <v>-168.49846122948009</v>
      </c>
      <c r="F12" s="3" t="s">
        <v>64</v>
      </c>
      <c r="G12" s="12" t="str">
        <f t="shared" si="4"/>
        <v>52001.3790</v>
      </c>
      <c r="H12" s="10">
        <f t="shared" si="5"/>
        <v>-1311.5</v>
      </c>
      <c r="I12" s="49" t="s">
        <v>73</v>
      </c>
      <c r="J12" s="50" t="s">
        <v>74</v>
      </c>
      <c r="K12" s="49">
        <v>-1311.5</v>
      </c>
      <c r="L12" s="49" t="s">
        <v>75</v>
      </c>
      <c r="M12" s="50" t="s">
        <v>69</v>
      </c>
      <c r="N12" s="50" t="s">
        <v>70</v>
      </c>
      <c r="O12" s="51" t="s">
        <v>71</v>
      </c>
      <c r="P12" s="52" t="s">
        <v>72</v>
      </c>
    </row>
    <row r="13" spans="1:16" ht="12.75" customHeight="1" thickBot="1">
      <c r="A13" s="10" t="str">
        <f t="shared" si="0"/>
        <v>IBVS 5151 </v>
      </c>
      <c r="B13" s="3" t="str">
        <f t="shared" si="1"/>
        <v>I</v>
      </c>
      <c r="C13" s="10">
        <f t="shared" si="2"/>
        <v>52041.51</v>
      </c>
      <c r="D13" s="12" t="str">
        <f t="shared" si="3"/>
        <v>vis</v>
      </c>
      <c r="E13" s="48">
        <f>VLOOKUP(C13,Active!C$21:E$973,3,FALSE)</f>
        <v>-63.001920867211872</v>
      </c>
      <c r="F13" s="3" t="s">
        <v>64</v>
      </c>
      <c r="G13" s="12" t="str">
        <f t="shared" si="4"/>
        <v>52041.5100</v>
      </c>
      <c r="H13" s="10">
        <f t="shared" si="5"/>
        <v>-1206</v>
      </c>
      <c r="I13" s="49" t="s">
        <v>76</v>
      </c>
      <c r="J13" s="50" t="s">
        <v>77</v>
      </c>
      <c r="K13" s="49">
        <v>-1206</v>
      </c>
      <c r="L13" s="49" t="s">
        <v>78</v>
      </c>
      <c r="M13" s="50" t="s">
        <v>69</v>
      </c>
      <c r="N13" s="50" t="s">
        <v>70</v>
      </c>
      <c r="O13" s="51" t="s">
        <v>71</v>
      </c>
      <c r="P13" s="52" t="s">
        <v>72</v>
      </c>
    </row>
    <row r="14" spans="1:16" ht="12.75" customHeight="1" thickBot="1">
      <c r="A14" s="10" t="str">
        <f t="shared" si="0"/>
        <v>IBVS 5151 </v>
      </c>
      <c r="B14" s="3" t="str">
        <f t="shared" si="1"/>
        <v>II</v>
      </c>
      <c r="C14" s="10">
        <f t="shared" si="2"/>
        <v>52058.438699999999</v>
      </c>
      <c r="D14" s="12" t="str">
        <f t="shared" si="3"/>
        <v>vis</v>
      </c>
      <c r="E14" s="48">
        <f>VLOOKUP(C14,Active!C$21:E$973,3,FALSE)</f>
        <v>-18.49968362342695</v>
      </c>
      <c r="F14" s="3" t="s">
        <v>64</v>
      </c>
      <c r="G14" s="12" t="str">
        <f t="shared" si="4"/>
        <v>52058.4387</v>
      </c>
      <c r="H14" s="10">
        <f t="shared" si="5"/>
        <v>-1161.5</v>
      </c>
      <c r="I14" s="49" t="s">
        <v>79</v>
      </c>
      <c r="J14" s="50" t="s">
        <v>80</v>
      </c>
      <c r="K14" s="49">
        <v>-1161.5</v>
      </c>
      <c r="L14" s="49" t="s">
        <v>81</v>
      </c>
      <c r="M14" s="50" t="s">
        <v>69</v>
      </c>
      <c r="N14" s="50" t="s">
        <v>70</v>
      </c>
      <c r="O14" s="51" t="s">
        <v>71</v>
      </c>
      <c r="P14" s="52" t="s">
        <v>72</v>
      </c>
    </row>
    <row r="15" spans="1:16" ht="12.75" customHeight="1" thickBot="1">
      <c r="A15" s="10" t="str">
        <f t="shared" si="0"/>
        <v>IBVS 5151 </v>
      </c>
      <c r="B15" s="3" t="str">
        <f t="shared" si="1"/>
        <v>I</v>
      </c>
      <c r="C15" s="10">
        <f t="shared" si="2"/>
        <v>52065.476799999997</v>
      </c>
      <c r="D15" s="12" t="str">
        <f t="shared" si="3"/>
        <v>vis</v>
      </c>
      <c r="E15" s="48">
        <f>VLOOKUP(C15,Active!C$21:E$973,3,FALSE)</f>
        <v>2.1030433254325904E-3</v>
      </c>
      <c r="F15" s="3" t="s">
        <v>64</v>
      </c>
      <c r="G15" s="12" t="str">
        <f t="shared" si="4"/>
        <v>52065.4768</v>
      </c>
      <c r="H15" s="10">
        <f t="shared" si="5"/>
        <v>-1143</v>
      </c>
      <c r="I15" s="49" t="s">
        <v>82</v>
      </c>
      <c r="J15" s="50" t="s">
        <v>83</v>
      </c>
      <c r="K15" s="49">
        <v>-1143</v>
      </c>
      <c r="L15" s="49" t="s">
        <v>84</v>
      </c>
      <c r="M15" s="50" t="s">
        <v>69</v>
      </c>
      <c r="N15" s="50" t="s">
        <v>70</v>
      </c>
      <c r="O15" s="51" t="s">
        <v>71</v>
      </c>
      <c r="P15" s="52" t="s">
        <v>72</v>
      </c>
    </row>
    <row r="16" spans="1:16" ht="12.75" customHeight="1" thickBot="1">
      <c r="A16" s="10" t="str">
        <f t="shared" si="0"/>
        <v>BAVM 183 </v>
      </c>
      <c r="B16" s="3" t="str">
        <f t="shared" si="1"/>
        <v>I</v>
      </c>
      <c r="C16" s="10">
        <f t="shared" si="2"/>
        <v>54071.319100000001</v>
      </c>
      <c r="D16" s="12" t="str">
        <f t="shared" si="3"/>
        <v>vis</v>
      </c>
      <c r="E16" s="48">
        <f>VLOOKUP(C16,Active!C$21:E$973,3,FALSE)</f>
        <v>5272.9687164416673</v>
      </c>
      <c r="F16" s="3" t="s">
        <v>64</v>
      </c>
      <c r="G16" s="12" t="str">
        <f t="shared" si="4"/>
        <v>54071.3191</v>
      </c>
      <c r="H16" s="10">
        <f t="shared" si="5"/>
        <v>4130</v>
      </c>
      <c r="I16" s="49" t="s">
        <v>85</v>
      </c>
      <c r="J16" s="50" t="s">
        <v>86</v>
      </c>
      <c r="K16" s="49">
        <v>4130</v>
      </c>
      <c r="L16" s="49" t="s">
        <v>87</v>
      </c>
      <c r="M16" s="50" t="s">
        <v>88</v>
      </c>
      <c r="N16" s="50" t="s">
        <v>89</v>
      </c>
      <c r="O16" s="51" t="s">
        <v>90</v>
      </c>
      <c r="P16" s="52" t="s">
        <v>91</v>
      </c>
    </row>
    <row r="17" spans="1:16" ht="12.75" customHeight="1" thickBot="1">
      <c r="A17" s="10" t="str">
        <f t="shared" si="0"/>
        <v>IBVS 5871 </v>
      </c>
      <c r="B17" s="3" t="str">
        <f t="shared" si="1"/>
        <v>I</v>
      </c>
      <c r="C17" s="10">
        <f t="shared" si="2"/>
        <v>54812.7353</v>
      </c>
      <c r="D17" s="12" t="str">
        <f t="shared" si="3"/>
        <v>vis</v>
      </c>
      <c r="E17" s="48">
        <f>VLOOKUP(C17,Active!C$21:E$973,3,FALSE)</f>
        <v>7222.0067186977058</v>
      </c>
      <c r="F17" s="3" t="s">
        <v>64</v>
      </c>
      <c r="G17" s="12" t="str">
        <f t="shared" si="4"/>
        <v>54812.7353</v>
      </c>
      <c r="H17" s="10">
        <f t="shared" si="5"/>
        <v>6079</v>
      </c>
      <c r="I17" s="49" t="s">
        <v>92</v>
      </c>
      <c r="J17" s="50" t="s">
        <v>93</v>
      </c>
      <c r="K17" s="49">
        <v>6079</v>
      </c>
      <c r="L17" s="49" t="s">
        <v>94</v>
      </c>
      <c r="M17" s="50" t="s">
        <v>88</v>
      </c>
      <c r="N17" s="50" t="s">
        <v>64</v>
      </c>
      <c r="O17" s="51" t="s">
        <v>95</v>
      </c>
      <c r="P17" s="52" t="s">
        <v>96</v>
      </c>
    </row>
    <row r="18" spans="1:16" ht="12.75" customHeight="1" thickBot="1">
      <c r="A18" s="10" t="str">
        <f t="shared" si="0"/>
        <v>IBVS 5920 </v>
      </c>
      <c r="B18" s="3" t="str">
        <f t="shared" si="1"/>
        <v>II</v>
      </c>
      <c r="C18" s="10">
        <f t="shared" si="2"/>
        <v>55100.8897</v>
      </c>
      <c r="D18" s="12" t="str">
        <f t="shared" si="3"/>
        <v>vis</v>
      </c>
      <c r="E18" s="48">
        <f>VLOOKUP(C18,Active!C$21:E$973,3,FALSE)</f>
        <v>7979.5082085724707</v>
      </c>
      <c r="F18" s="3" t="s">
        <v>64</v>
      </c>
      <c r="G18" s="12" t="str">
        <f t="shared" si="4"/>
        <v>55100.8897</v>
      </c>
      <c r="H18" s="10">
        <f t="shared" si="5"/>
        <v>6836.5</v>
      </c>
      <c r="I18" s="49" t="s">
        <v>97</v>
      </c>
      <c r="J18" s="50" t="s">
        <v>98</v>
      </c>
      <c r="K18" s="49">
        <v>6836.5</v>
      </c>
      <c r="L18" s="49" t="s">
        <v>99</v>
      </c>
      <c r="M18" s="50" t="s">
        <v>88</v>
      </c>
      <c r="N18" s="50" t="s">
        <v>64</v>
      </c>
      <c r="O18" s="51" t="s">
        <v>95</v>
      </c>
      <c r="P18" s="52" t="s">
        <v>100</v>
      </c>
    </row>
    <row r="19" spans="1:16" ht="12.75" customHeight="1" thickBot="1">
      <c r="A19" s="10" t="str">
        <f t="shared" si="0"/>
        <v>IBVS 5929 </v>
      </c>
      <c r="B19" s="3" t="str">
        <f t="shared" si="1"/>
        <v>I</v>
      </c>
      <c r="C19" s="10">
        <f t="shared" si="2"/>
        <v>55170.6927</v>
      </c>
      <c r="D19" s="12" t="str">
        <f t="shared" si="3"/>
        <v>vis</v>
      </c>
      <c r="E19" s="48">
        <f>VLOOKUP(C19,Active!C$21:E$973,3,FALSE)</f>
        <v>8163.0066264266779</v>
      </c>
      <c r="F19" s="3" t="s">
        <v>64</v>
      </c>
      <c r="G19" s="12" t="str">
        <f t="shared" si="4"/>
        <v>55170.6927</v>
      </c>
      <c r="H19" s="10">
        <f t="shared" si="5"/>
        <v>7020</v>
      </c>
      <c r="I19" s="49" t="s">
        <v>101</v>
      </c>
      <c r="J19" s="50" t="s">
        <v>102</v>
      </c>
      <c r="K19" s="49">
        <v>7020</v>
      </c>
      <c r="L19" s="49" t="s">
        <v>103</v>
      </c>
      <c r="M19" s="50" t="s">
        <v>88</v>
      </c>
      <c r="N19" s="50" t="s">
        <v>56</v>
      </c>
      <c r="O19" s="51" t="s">
        <v>104</v>
      </c>
      <c r="P19" s="52" t="s">
        <v>105</v>
      </c>
    </row>
    <row r="20" spans="1:16" ht="12.75" customHeight="1" thickBot="1">
      <c r="A20" s="10" t="str">
        <f t="shared" si="0"/>
        <v>BAVM 215 </v>
      </c>
      <c r="B20" s="3" t="str">
        <f t="shared" si="1"/>
        <v>II</v>
      </c>
      <c r="C20" s="10">
        <f t="shared" si="2"/>
        <v>55473.303099999997</v>
      </c>
      <c r="D20" s="12" t="str">
        <f t="shared" si="3"/>
        <v>vis</v>
      </c>
      <c r="E20" s="48">
        <f>VLOOKUP(C20,Active!C$21:E$973,3,FALSE)</f>
        <v>8958.5101094607635</v>
      </c>
      <c r="F20" s="3" t="s">
        <v>64</v>
      </c>
      <c r="G20" s="12" t="str">
        <f t="shared" si="4"/>
        <v>55473.3031</v>
      </c>
      <c r="H20" s="10">
        <f t="shared" si="5"/>
        <v>7815.5</v>
      </c>
      <c r="I20" s="49" t="s">
        <v>106</v>
      </c>
      <c r="J20" s="50" t="s">
        <v>107</v>
      </c>
      <c r="K20" s="49">
        <v>7815.5</v>
      </c>
      <c r="L20" s="49" t="s">
        <v>108</v>
      </c>
      <c r="M20" s="50" t="s">
        <v>88</v>
      </c>
      <c r="N20" s="50" t="s">
        <v>109</v>
      </c>
      <c r="O20" s="51" t="s">
        <v>110</v>
      </c>
      <c r="P20" s="52" t="s">
        <v>111</v>
      </c>
    </row>
    <row r="21" spans="1:16" ht="12.75" customHeight="1" thickBot="1">
      <c r="A21" s="10" t="str">
        <f t="shared" si="0"/>
        <v>BAVM 215 </v>
      </c>
      <c r="B21" s="3" t="str">
        <f t="shared" si="1"/>
        <v>I</v>
      </c>
      <c r="C21" s="10">
        <f t="shared" si="2"/>
        <v>55473.495199999998</v>
      </c>
      <c r="D21" s="12" t="str">
        <f t="shared" si="3"/>
        <v>vis</v>
      </c>
      <c r="E21" s="48">
        <f>VLOOKUP(C21,Active!C$21:E$973,3,FALSE)</f>
        <v>8959.0151027428547</v>
      </c>
      <c r="F21" s="3" t="s">
        <v>64</v>
      </c>
      <c r="G21" s="12" t="str">
        <f t="shared" si="4"/>
        <v>55473.4952</v>
      </c>
      <c r="H21" s="10">
        <f t="shared" si="5"/>
        <v>7816</v>
      </c>
      <c r="I21" s="49" t="s">
        <v>112</v>
      </c>
      <c r="J21" s="50" t="s">
        <v>113</v>
      </c>
      <c r="K21" s="49" t="s">
        <v>114</v>
      </c>
      <c r="L21" s="49" t="s">
        <v>115</v>
      </c>
      <c r="M21" s="50" t="s">
        <v>88</v>
      </c>
      <c r="N21" s="50" t="s">
        <v>109</v>
      </c>
      <c r="O21" s="51" t="s">
        <v>110</v>
      </c>
      <c r="P21" s="52" t="s">
        <v>111</v>
      </c>
    </row>
    <row r="22" spans="1:16" ht="12.75" customHeight="1" thickBot="1">
      <c r="A22" s="10" t="str">
        <f t="shared" si="0"/>
        <v>IBVS 5960 </v>
      </c>
      <c r="B22" s="3" t="str">
        <f t="shared" si="1"/>
        <v>I</v>
      </c>
      <c r="C22" s="10">
        <f t="shared" si="2"/>
        <v>55542.727500000001</v>
      </c>
      <c r="D22" s="12" t="str">
        <f t="shared" si="3"/>
        <v>vis</v>
      </c>
      <c r="E22" s="48">
        <f>VLOOKUP(C22,Active!C$21:E$973,3,FALSE)</f>
        <v>9141.0132620541808</v>
      </c>
      <c r="F22" s="3" t="s">
        <v>64</v>
      </c>
      <c r="G22" s="12" t="str">
        <f t="shared" si="4"/>
        <v>55542.7275</v>
      </c>
      <c r="H22" s="10">
        <f t="shared" si="5"/>
        <v>7998</v>
      </c>
      <c r="I22" s="49" t="s">
        <v>116</v>
      </c>
      <c r="J22" s="50" t="s">
        <v>117</v>
      </c>
      <c r="K22" s="49" t="s">
        <v>118</v>
      </c>
      <c r="L22" s="49" t="s">
        <v>119</v>
      </c>
      <c r="M22" s="50" t="s">
        <v>88</v>
      </c>
      <c r="N22" s="50" t="s">
        <v>64</v>
      </c>
      <c r="O22" s="51" t="s">
        <v>95</v>
      </c>
      <c r="P22" s="52" t="s">
        <v>120</v>
      </c>
    </row>
    <row r="23" spans="1:16" ht="12.75" customHeight="1" thickBot="1">
      <c r="A23" s="10" t="str">
        <f t="shared" si="0"/>
        <v>IBVS 6011 </v>
      </c>
      <c r="B23" s="3" t="str">
        <f t="shared" si="1"/>
        <v>I</v>
      </c>
      <c r="C23" s="10">
        <f t="shared" si="2"/>
        <v>55850.8534</v>
      </c>
      <c r="D23" s="12" t="str">
        <f t="shared" si="3"/>
        <v>vis</v>
      </c>
      <c r="E23" s="48">
        <f>VLOOKUP(C23,Active!C$21:E$973,3,FALSE)</f>
        <v>9951.0159145175912</v>
      </c>
      <c r="F23" s="3" t="s">
        <v>64</v>
      </c>
      <c r="G23" s="12" t="str">
        <f t="shared" si="4"/>
        <v>55850.8534</v>
      </c>
      <c r="H23" s="10">
        <f t="shared" si="5"/>
        <v>8808</v>
      </c>
      <c r="I23" s="49" t="s">
        <v>126</v>
      </c>
      <c r="J23" s="50" t="s">
        <v>127</v>
      </c>
      <c r="K23" s="49" t="s">
        <v>128</v>
      </c>
      <c r="L23" s="49" t="s">
        <v>129</v>
      </c>
      <c r="M23" s="50" t="s">
        <v>88</v>
      </c>
      <c r="N23" s="50" t="s">
        <v>64</v>
      </c>
      <c r="O23" s="51" t="s">
        <v>95</v>
      </c>
      <c r="P23" s="52" t="s">
        <v>130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56155.56151</v>
      </c>
      <c r="D24" s="12" t="str">
        <f t="shared" si="3"/>
        <v>vis</v>
      </c>
      <c r="E24" s="48">
        <f>VLOOKUP(C24,Active!C$21:E$973,3,FALSE)</f>
        <v>10752.033866358423</v>
      </c>
      <c r="F24" s="3" t="s">
        <v>64</v>
      </c>
      <c r="G24" s="12" t="str">
        <f t="shared" si="4"/>
        <v>56155.56151</v>
      </c>
      <c r="H24" s="10">
        <f t="shared" si="5"/>
        <v>9609</v>
      </c>
      <c r="I24" s="49" t="s">
        <v>131</v>
      </c>
      <c r="J24" s="50" t="s">
        <v>132</v>
      </c>
      <c r="K24" s="49" t="s">
        <v>133</v>
      </c>
      <c r="L24" s="49" t="s">
        <v>134</v>
      </c>
      <c r="M24" s="50" t="s">
        <v>88</v>
      </c>
      <c r="N24" s="50" t="s">
        <v>135</v>
      </c>
      <c r="O24" s="51" t="s">
        <v>136</v>
      </c>
      <c r="P24" s="52" t="s">
        <v>137</v>
      </c>
    </row>
    <row r="25" spans="1:16" ht="12.75" customHeight="1" thickBot="1">
      <c r="A25" s="10" t="str">
        <f t="shared" si="0"/>
        <v>IBVS 6042 </v>
      </c>
      <c r="B25" s="3" t="str">
        <f t="shared" si="1"/>
        <v>I</v>
      </c>
      <c r="C25" s="10">
        <f t="shared" si="2"/>
        <v>56203.871899999998</v>
      </c>
      <c r="D25" s="12" t="str">
        <f t="shared" si="3"/>
        <v>vis</v>
      </c>
      <c r="E25" s="48">
        <f>VLOOKUP(C25,Active!C$21:E$973,3,FALSE)</f>
        <v>10879.032421304764</v>
      </c>
      <c r="F25" s="3" t="s">
        <v>64</v>
      </c>
      <c r="G25" s="12" t="str">
        <f t="shared" si="4"/>
        <v>56203.8719</v>
      </c>
      <c r="H25" s="10">
        <f t="shared" si="5"/>
        <v>9736</v>
      </c>
      <c r="I25" s="49" t="s">
        <v>138</v>
      </c>
      <c r="J25" s="50" t="s">
        <v>139</v>
      </c>
      <c r="K25" s="49" t="s">
        <v>140</v>
      </c>
      <c r="L25" s="49" t="s">
        <v>141</v>
      </c>
      <c r="M25" s="50" t="s">
        <v>88</v>
      </c>
      <c r="N25" s="50" t="s">
        <v>64</v>
      </c>
      <c r="O25" s="51" t="s">
        <v>95</v>
      </c>
      <c r="P25" s="52" t="s">
        <v>142</v>
      </c>
    </row>
    <row r="26" spans="1:16" ht="12.75" customHeight="1" thickBot="1">
      <c r="A26" s="10" t="str">
        <f t="shared" si="0"/>
        <v>IBVS 6131 </v>
      </c>
      <c r="B26" s="3" t="str">
        <f t="shared" si="1"/>
        <v>I</v>
      </c>
      <c r="C26" s="10">
        <f t="shared" si="2"/>
        <v>57007.671600000001</v>
      </c>
      <c r="D26" s="12" t="str">
        <f t="shared" si="3"/>
        <v>vis</v>
      </c>
      <c r="E26" s="48">
        <f>VLOOKUP(C26,Active!C$21:E$973,3,FALSE)</f>
        <v>12992.064428835771</v>
      </c>
      <c r="F26" s="3" t="s">
        <v>64</v>
      </c>
      <c r="G26" s="12" t="str">
        <f t="shared" si="4"/>
        <v>57007.6716</v>
      </c>
      <c r="H26" s="10">
        <f t="shared" si="5"/>
        <v>11849</v>
      </c>
      <c r="I26" s="49" t="s">
        <v>143</v>
      </c>
      <c r="J26" s="50" t="s">
        <v>144</v>
      </c>
      <c r="K26" s="49" t="s">
        <v>145</v>
      </c>
      <c r="L26" s="49" t="s">
        <v>94</v>
      </c>
      <c r="M26" s="50" t="s">
        <v>88</v>
      </c>
      <c r="N26" s="50" t="s">
        <v>56</v>
      </c>
      <c r="O26" s="51" t="s">
        <v>104</v>
      </c>
      <c r="P26" s="52" t="s">
        <v>146</v>
      </c>
    </row>
    <row r="27" spans="1:16" ht="12.75" customHeight="1" thickBot="1">
      <c r="A27" s="10" t="str">
        <f t="shared" si="0"/>
        <v>BAVM 225 </v>
      </c>
      <c r="B27" s="3" t="str">
        <f t="shared" si="1"/>
        <v>I</v>
      </c>
      <c r="C27" s="10">
        <f t="shared" si="2"/>
        <v>55804.446900000003</v>
      </c>
      <c r="D27" s="12" t="str">
        <f t="shared" si="3"/>
        <v>vis</v>
      </c>
      <c r="E27" s="48">
        <f>VLOOKUP(C27,Active!C$21:E$973,3,FALSE)</f>
        <v>9829.0223135527212</v>
      </c>
      <c r="F27" s="3" t="s">
        <v>64</v>
      </c>
      <c r="G27" s="12" t="str">
        <f t="shared" si="4"/>
        <v>55804.4469</v>
      </c>
      <c r="H27" s="10">
        <f t="shared" si="5"/>
        <v>8686</v>
      </c>
      <c r="I27" s="49" t="s">
        <v>121</v>
      </c>
      <c r="J27" s="50" t="s">
        <v>122</v>
      </c>
      <c r="K27" s="49" t="s">
        <v>123</v>
      </c>
      <c r="L27" s="49" t="s">
        <v>124</v>
      </c>
      <c r="M27" s="50" t="s">
        <v>88</v>
      </c>
      <c r="N27" s="50" t="s">
        <v>109</v>
      </c>
      <c r="O27" s="51" t="s">
        <v>110</v>
      </c>
      <c r="P27" s="52" t="s">
        <v>125</v>
      </c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</sheetData>
  <phoneticPr fontId="8" type="noConversion"/>
  <hyperlinks>
    <hyperlink ref="P11" r:id="rId1" display="http://www.konkoly.hu/cgi-bin/IBVS?5151" xr:uid="{00000000-0004-0000-0100-000000000000}"/>
    <hyperlink ref="P12" r:id="rId2" display="http://www.konkoly.hu/cgi-bin/IBVS?5151" xr:uid="{00000000-0004-0000-0100-000001000000}"/>
    <hyperlink ref="P13" r:id="rId3" display="http://www.konkoly.hu/cgi-bin/IBVS?5151" xr:uid="{00000000-0004-0000-0100-000002000000}"/>
    <hyperlink ref="P14" r:id="rId4" display="http://www.konkoly.hu/cgi-bin/IBVS?5151" xr:uid="{00000000-0004-0000-0100-000003000000}"/>
    <hyperlink ref="P15" r:id="rId5" display="http://www.konkoly.hu/cgi-bin/IBVS?5151" xr:uid="{00000000-0004-0000-0100-000004000000}"/>
    <hyperlink ref="P16" r:id="rId6" display="http://www.bav-astro.de/sfs/BAVM_link.php?BAVMnr=183" xr:uid="{00000000-0004-0000-0100-000005000000}"/>
    <hyperlink ref="P17" r:id="rId7" display="http://www.konkoly.hu/cgi-bin/IBVS?5871" xr:uid="{00000000-0004-0000-0100-000006000000}"/>
    <hyperlink ref="P18" r:id="rId8" display="http://www.konkoly.hu/cgi-bin/IBVS?5920" xr:uid="{00000000-0004-0000-0100-000007000000}"/>
    <hyperlink ref="P19" r:id="rId9" display="http://www.konkoly.hu/cgi-bin/IBVS?5929" xr:uid="{00000000-0004-0000-0100-000008000000}"/>
    <hyperlink ref="P20" r:id="rId10" display="http://www.bav-astro.de/sfs/BAVM_link.php?BAVMnr=215" xr:uid="{00000000-0004-0000-0100-000009000000}"/>
    <hyperlink ref="P21" r:id="rId11" display="http://www.bav-astro.de/sfs/BAVM_link.php?BAVMnr=215" xr:uid="{00000000-0004-0000-0100-00000A000000}"/>
    <hyperlink ref="P22" r:id="rId12" display="http://www.konkoly.hu/cgi-bin/IBVS?5960" xr:uid="{00000000-0004-0000-0100-00000B000000}"/>
    <hyperlink ref="P27" r:id="rId13" display="http://www.bav-astro.de/sfs/BAVM_link.php?BAVMnr=225" xr:uid="{00000000-0004-0000-0100-00000C000000}"/>
    <hyperlink ref="P23" r:id="rId14" display="http://www.konkoly.hu/cgi-bin/IBVS?6011" xr:uid="{00000000-0004-0000-0100-00000D000000}"/>
    <hyperlink ref="P24" r:id="rId15" display="http://var.astro.cz/oejv/issues/oejv0160.pdf" xr:uid="{00000000-0004-0000-0100-00000E000000}"/>
    <hyperlink ref="P25" r:id="rId16" display="http://www.konkoly.hu/cgi-bin/IBVS?6042" xr:uid="{00000000-0004-0000-0100-00000F000000}"/>
    <hyperlink ref="P26" r:id="rId17" display="http://www.konkoly.hu/cgi-bin/IBVS?6131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2025-01-03T07:31:38Z</dcterms:modified>
</cp:coreProperties>
</file>