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9163FA-B9D4-4E1A-A81E-0A0B0F6E3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4" i="3" l="1"/>
  <c r="E37" i="3"/>
  <c r="F37" i="3" s="1"/>
  <c r="G37" i="3" s="1"/>
  <c r="K37" i="3" s="1"/>
  <c r="Q37" i="3"/>
  <c r="E37" i="1"/>
  <c r="F37" i="1" s="1"/>
  <c r="G37" i="1" s="1"/>
  <c r="K37" i="1" s="1"/>
  <c r="Q37" i="1"/>
  <c r="F14" i="1"/>
  <c r="F15" i="1" s="1"/>
  <c r="E36" i="1"/>
  <c r="F36" i="1"/>
  <c r="G36" i="1"/>
  <c r="K36" i="1"/>
  <c r="Q36" i="1"/>
  <c r="E36" i="3"/>
  <c r="F36" i="3"/>
  <c r="G36" i="3"/>
  <c r="K36" i="3"/>
  <c r="Q36" i="3"/>
  <c r="E22" i="3"/>
  <c r="F22" i="3"/>
  <c r="G22" i="3"/>
  <c r="I22" i="3"/>
  <c r="E23" i="3"/>
  <c r="F23" i="3"/>
  <c r="G23" i="3"/>
  <c r="J23" i="3"/>
  <c r="E24" i="3"/>
  <c r="F24" i="3"/>
  <c r="G24" i="3"/>
  <c r="K24" i="3"/>
  <c r="E25" i="3"/>
  <c r="F25" i="3"/>
  <c r="G25" i="3"/>
  <c r="K25" i="3"/>
  <c r="E26" i="3"/>
  <c r="F26" i="3"/>
  <c r="G26" i="3"/>
  <c r="J26" i="3"/>
  <c r="E27" i="3"/>
  <c r="F27" i="3"/>
  <c r="U27" i="3"/>
  <c r="E28" i="3"/>
  <c r="F28" i="3"/>
  <c r="G28" i="3"/>
  <c r="K28" i="3"/>
  <c r="E29" i="3"/>
  <c r="F29" i="3"/>
  <c r="G29" i="3"/>
  <c r="K29" i="3"/>
  <c r="E30" i="3"/>
  <c r="F30" i="3"/>
  <c r="G30" i="3"/>
  <c r="K30" i="3"/>
  <c r="E31" i="3"/>
  <c r="F31" i="3"/>
  <c r="G31" i="3"/>
  <c r="K31" i="3"/>
  <c r="E32" i="3"/>
  <c r="F32" i="3"/>
  <c r="G32" i="3"/>
  <c r="K32" i="3"/>
  <c r="E33" i="3"/>
  <c r="F33" i="3"/>
  <c r="G33" i="3"/>
  <c r="J33" i="3"/>
  <c r="E34" i="3"/>
  <c r="F34" i="3"/>
  <c r="G34" i="3"/>
  <c r="J34" i="3"/>
  <c r="E35" i="3"/>
  <c r="F35" i="3"/>
  <c r="G35" i="3"/>
  <c r="K35" i="3"/>
  <c r="C9" i="3"/>
  <c r="D9" i="3"/>
  <c r="E21" i="3"/>
  <c r="F21" i="3"/>
  <c r="C17" i="3"/>
  <c r="G21" i="3"/>
  <c r="I21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E31" i="1"/>
  <c r="F31" i="1"/>
  <c r="G31" i="1"/>
  <c r="K31" i="1"/>
  <c r="E32" i="1"/>
  <c r="F32" i="1"/>
  <c r="G32" i="1"/>
  <c r="K32" i="1"/>
  <c r="E33" i="1"/>
  <c r="F33" i="1"/>
  <c r="G33" i="1"/>
  <c r="J33" i="1"/>
  <c r="E34" i="1"/>
  <c r="F34" i="1"/>
  <c r="G34" i="1"/>
  <c r="J34" i="1"/>
  <c r="E35" i="1"/>
  <c r="F35" i="1"/>
  <c r="G35" i="1"/>
  <c r="K35" i="1"/>
  <c r="D9" i="1"/>
  <c r="C9" i="1"/>
  <c r="E23" i="1"/>
  <c r="F23" i="1"/>
  <c r="G23" i="1"/>
  <c r="J23" i="1"/>
  <c r="E24" i="1"/>
  <c r="F24" i="1"/>
  <c r="G24" i="1"/>
  <c r="K24" i="1"/>
  <c r="E25" i="1"/>
  <c r="F25" i="1"/>
  <c r="G25" i="1"/>
  <c r="K25" i="1"/>
  <c r="E26" i="1"/>
  <c r="F26" i="1"/>
  <c r="G26" i="1"/>
  <c r="J26" i="1"/>
  <c r="E27" i="1"/>
  <c r="F27" i="1"/>
  <c r="G27" i="1"/>
  <c r="J27" i="1"/>
  <c r="E28" i="1"/>
  <c r="F28" i="1"/>
  <c r="G28" i="1"/>
  <c r="K28" i="1"/>
  <c r="E29" i="1"/>
  <c r="F29" i="1"/>
  <c r="G29" i="1"/>
  <c r="K29" i="1"/>
  <c r="E30" i="1"/>
  <c r="F30" i="1"/>
  <c r="G30" i="1"/>
  <c r="K30" i="1"/>
  <c r="Q35" i="1"/>
  <c r="Q34" i="1"/>
  <c r="Q32" i="1"/>
  <c r="G12" i="2"/>
  <c r="C12" i="2"/>
  <c r="E12" i="2"/>
  <c r="G18" i="2"/>
  <c r="C18" i="2"/>
  <c r="E18" i="2"/>
  <c r="G22" i="2"/>
  <c r="C22" i="2"/>
  <c r="E22" i="2"/>
  <c r="G17" i="2"/>
  <c r="C17" i="2"/>
  <c r="E17" i="2"/>
  <c r="G16" i="2"/>
  <c r="C16" i="2"/>
  <c r="E16" i="2"/>
  <c r="G15" i="2"/>
  <c r="C15" i="2"/>
  <c r="E15" i="2"/>
  <c r="G21" i="2"/>
  <c r="C21" i="2"/>
  <c r="E21" i="2"/>
  <c r="G14" i="2"/>
  <c r="C14" i="2"/>
  <c r="E14" i="2"/>
  <c r="G13" i="2"/>
  <c r="C13" i="2"/>
  <c r="E13" i="2"/>
  <c r="G20" i="2"/>
  <c r="C20" i="2"/>
  <c r="E20" i="2"/>
  <c r="G19" i="2"/>
  <c r="C19" i="2"/>
  <c r="E19" i="2"/>
  <c r="G11" i="2"/>
  <c r="C11" i="2"/>
  <c r="E11" i="2"/>
  <c r="H12" i="2"/>
  <c r="D12" i="2"/>
  <c r="B12" i="2"/>
  <c r="A12" i="2"/>
  <c r="H18" i="2"/>
  <c r="B18" i="2"/>
  <c r="D18" i="2"/>
  <c r="A18" i="2"/>
  <c r="H22" i="2"/>
  <c r="D22" i="2"/>
  <c r="B22" i="2"/>
  <c r="A22" i="2"/>
  <c r="H17" i="2"/>
  <c r="B17" i="2"/>
  <c r="D17" i="2"/>
  <c r="A17" i="2"/>
  <c r="H16" i="2"/>
  <c r="D16" i="2"/>
  <c r="B16" i="2"/>
  <c r="A16" i="2"/>
  <c r="H15" i="2"/>
  <c r="B15" i="2"/>
  <c r="D15" i="2"/>
  <c r="A15" i="2"/>
  <c r="H21" i="2"/>
  <c r="D21" i="2"/>
  <c r="B21" i="2"/>
  <c r="A21" i="2"/>
  <c r="H14" i="2"/>
  <c r="B14" i="2"/>
  <c r="D14" i="2"/>
  <c r="A14" i="2"/>
  <c r="H13" i="2"/>
  <c r="D13" i="2"/>
  <c r="B13" i="2"/>
  <c r="A13" i="2"/>
  <c r="H20" i="2"/>
  <c r="B20" i="2"/>
  <c r="D20" i="2"/>
  <c r="A20" i="2"/>
  <c r="H19" i="2"/>
  <c r="D19" i="2"/>
  <c r="B19" i="2"/>
  <c r="A19" i="2"/>
  <c r="H11" i="2"/>
  <c r="B11" i="2"/>
  <c r="D11" i="2"/>
  <c r="A11" i="2"/>
  <c r="Q33" i="1"/>
  <c r="Q30" i="1"/>
  <c r="Q26" i="1"/>
  <c r="Q27" i="1"/>
  <c r="Q31" i="1"/>
  <c r="Q28" i="1"/>
  <c r="Q29" i="1"/>
  <c r="E21" i="1"/>
  <c r="F21" i="1"/>
  <c r="G21" i="1"/>
  <c r="I21" i="1"/>
  <c r="E22" i="1"/>
  <c r="F22" i="1"/>
  <c r="C17" i="1"/>
  <c r="Q22" i="1"/>
  <c r="G22" i="1"/>
  <c r="I22" i="1"/>
  <c r="Q21" i="1"/>
  <c r="Q23" i="1"/>
  <c r="Q25" i="1"/>
  <c r="Q24" i="1"/>
  <c r="C12" i="3"/>
  <c r="C11" i="3"/>
  <c r="C12" i="1"/>
  <c r="C11" i="1"/>
  <c r="F15" i="3" l="1"/>
  <c r="O37" i="3"/>
  <c r="O37" i="1"/>
  <c r="C15" i="3"/>
  <c r="O34" i="3"/>
  <c r="O31" i="3"/>
  <c r="O23" i="3"/>
  <c r="O24" i="3"/>
  <c r="O29" i="3"/>
  <c r="O33" i="3"/>
  <c r="O22" i="3"/>
  <c r="O28" i="3"/>
  <c r="O21" i="3"/>
  <c r="O32" i="3"/>
  <c r="O35" i="3"/>
  <c r="O36" i="3"/>
  <c r="O25" i="3"/>
  <c r="O26" i="3"/>
  <c r="O27" i="3"/>
  <c r="O30" i="3"/>
  <c r="C16" i="3"/>
  <c r="D18" i="3" s="1"/>
  <c r="O29" i="1"/>
  <c r="O25" i="1"/>
  <c r="O26" i="1"/>
  <c r="O24" i="1"/>
  <c r="O36" i="1"/>
  <c r="C15" i="1"/>
  <c r="O21" i="1"/>
  <c r="O34" i="1"/>
  <c r="O23" i="1"/>
  <c r="O31" i="1"/>
  <c r="O35" i="1"/>
  <c r="O22" i="1"/>
  <c r="O30" i="1"/>
  <c r="O32" i="1"/>
  <c r="O33" i="1"/>
  <c r="O28" i="1"/>
  <c r="O27" i="1"/>
  <c r="C16" i="1"/>
  <c r="D18" i="1" s="1"/>
  <c r="F16" i="3" l="1"/>
  <c r="F18" i="3" s="1"/>
  <c r="F16" i="1"/>
  <c r="F17" i="1" s="1"/>
  <c r="C18" i="1"/>
  <c r="C18" i="3"/>
  <c r="F17" i="3" l="1"/>
  <c r="F18" i="1"/>
</calcChain>
</file>

<file path=xl/sharedStrings.xml><?xml version="1.0" encoding="utf-8"?>
<sst xmlns="http://schemas.openxmlformats.org/spreadsheetml/2006/main" count="286" uniqueCount="140">
  <si>
    <t>VSB-063</t>
  </si>
  <si>
    <t>IBVS 6244</t>
  </si>
  <si>
    <t>BAD?</t>
  </si>
  <si>
    <t>OEJV 0094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</si>
  <si>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</si>
  <si>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</si>
  <si>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</si>
  <si>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</si>
  <si>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</si>
  <si>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</si>
  <si>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</si>
  <si>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</si>
  <si>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</si>
  <si>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</si>
  <si>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</si>
  <si>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</si>
  <si>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</si>
  <si>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</si>
  <si>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</si>
  <si>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</si>
  <si>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</si>
  <si>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</si>
  <si>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</si>
  <si>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</si>
  <si>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</si>
  <si>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</si>
  <si>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</si>
  <si>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</si>
  <si>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</si>
  <si>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</si>
  <si>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</si>
  <si>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</si>
  <si>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</si>
  <si>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</si>
  <si>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</si>
  <si>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</si>
  <si>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</si>
  <si>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V1045 Her / GSC 3501-2083</t>
  </si>
  <si>
    <t>not avail.</t>
  </si>
  <si>
    <t>EB</t>
  </si>
  <si>
    <t>II</t>
  </si>
  <si>
    <t>I</t>
  </si>
  <si>
    <t>IBVS 5874</t>
  </si>
  <si>
    <t>IBVS 5060</t>
  </si>
  <si>
    <t>Add cycle</t>
  </si>
  <si>
    <t>Old Cycle</t>
  </si>
  <si>
    <t>OEJV 0137</t>
  </si>
  <si>
    <t>IBVS 5918</t>
  </si>
  <si>
    <t>.0004</t>
  </si>
  <si>
    <t>IBVS 5959</t>
  </si>
  <si>
    <t>IBVS 5992</t>
  </si>
  <si>
    <t>IBVS 6018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</si>
  <si>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</si>
  <si>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</si>
  <si>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</si>
  <si>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</si>
  <si>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</si>
  <si>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</si>
  <si>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</si>
  <si>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</si>
  <si>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</si>
  <si>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</si>
  <si>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</si>
  <si>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</si>
  <si>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</si>
  <si>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2454238.4499 </t>
  </si>
  <si>
    <t> 17.05.2007 22:47 </t>
  </si>
  <si>
    <t> -0.0010 </t>
  </si>
  <si>
    <t>C </t>
  </si>
  <si>
    <t>-I</t>
  </si>
  <si>
    <t> K.&amp; M.Rätz </t>
  </si>
  <si>
    <t>BAVM 201 </t>
  </si>
  <si>
    <t>2454531.6078 </t>
  </si>
  <si>
    <t> 06.03.2008 02:35 </t>
  </si>
  <si>
    <t>3981</t>
  </si>
  <si>
    <t> -0.0008 </t>
  </si>
  <si>
    <t>R</t>
  </si>
  <si>
    <t> H.Kucakova </t>
  </si>
  <si>
    <t>OEJV 094 </t>
  </si>
  <si>
    <t>2454584.4214 </t>
  </si>
  <si>
    <t> 27.04.2008 22:06 </t>
  </si>
  <si>
    <t>4084.5</t>
  </si>
  <si>
    <t> -0.0015 </t>
  </si>
  <si>
    <t> R.Kocian </t>
  </si>
  <si>
    <t>2454706.3830 </t>
  </si>
  <si>
    <t> 27.08.2008 21:11 </t>
  </si>
  <si>
    <t>4323.5</t>
  </si>
  <si>
    <t> 0.0024 </t>
  </si>
  <si>
    <t>BAVM 209 </t>
  </si>
  <si>
    <t>2455101.3606 </t>
  </si>
  <si>
    <t> 26.09.2009 20:39 </t>
  </si>
  <si>
    <t>5097.5</t>
  </si>
  <si>
    <t> 0.0208 </t>
  </si>
  <si>
    <t>BAVM 214 </t>
  </si>
  <si>
    <t>2455303.4071 </t>
  </si>
  <si>
    <t> 16.04.2010 21:46 </t>
  </si>
  <si>
    <t>5493.5</t>
  </si>
  <si>
    <t> -0.0049 </t>
  </si>
  <si>
    <t> J.Trnka </t>
  </si>
  <si>
    <t>OEJV 0137 </t>
  </si>
  <si>
    <t>2455365.4138 </t>
  </si>
  <si>
    <t> 17.06.2010 21:55 </t>
  </si>
  <si>
    <t>5615</t>
  </si>
  <si>
    <t> J.Starzomski </t>
  </si>
  <si>
    <t>2455648.8726 </t>
  </si>
  <si>
    <t> 28.03.2011 08:56 </t>
  </si>
  <si>
    <t>6170.5</t>
  </si>
  <si>
    <t> -0.0011 </t>
  </si>
  <si>
    <t> R.Nelson </t>
  </si>
  <si>
    <t>IBVS 6018 </t>
  </si>
  <si>
    <t>2455721.8466 </t>
  </si>
  <si>
    <t> 09.06.2011 08:19 </t>
  </si>
  <si>
    <t>6313.5</t>
  </si>
  <si>
    <t> R.Diethelm </t>
  </si>
  <si>
    <t>IBVS 5992 </t>
  </si>
  <si>
    <t>2456421.1831 </t>
  </si>
  <si>
    <t> 08.05.2013 16:23 </t>
  </si>
  <si>
    <t>7684</t>
  </si>
  <si>
    <t> -0.0042 </t>
  </si>
  <si>
    <t>Rc</t>
  </si>
  <si>
    <t> K.Shiokawa </t>
  </si>
  <si>
    <t>VSB 56 </t>
  </si>
  <si>
    <t>2456713.5764 </t>
  </si>
  <si>
    <t> 25.02.2014 01:50 </t>
  </si>
  <si>
    <t>8257</t>
  </si>
  <si>
    <t> -0.0032 </t>
  </si>
  <si>
    <t>o</t>
  </si>
  <si>
    <t> W.Moschner &amp; P.Frank </t>
  </si>
  <si>
    <t>BAVM 239 </t>
  </si>
  <si>
    <t>2457127.4132 </t>
  </si>
  <si>
    <t> 14.04.2015 21:55 </t>
  </si>
  <si>
    <t>9068</t>
  </si>
  <si>
    <t> -0.0061 </t>
  </si>
  <si>
    <t>BAVM 241 (=IBVS 6157) </t>
  </si>
  <si>
    <t>JBAV 96</t>
  </si>
  <si>
    <t>Next ToM-P</t>
  </si>
  <si>
    <t>Next ToM-S</t>
  </si>
  <si>
    <t>10.90-11.40</t>
  </si>
  <si>
    <t>Mag R1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</si>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</sst>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6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24" borderId="0" xfId="0" applyFont="1" applyFill="1" applyAlignment="1"/>
    <xf numFmtId="0" fontId="5" fillId="25" borderId="0" xfId="0" applyFont="1" applyFill="1" applyAlignment="1">
      <alignment horizontal="left" vertical="center"/>
    </xf>
    <xf numFmtId="0" fontId="5" fillId="25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43" applyFont="1" applyAlignment="1">
      <alignment horizontal="left"/>
    </xf>
    <xf numFmtId="0" fontId="14" fillId="0" borderId="0" xfId="43" applyFont="1" applyAlignment="1">
      <alignment horizontal="left" wrapText="1"/>
    </xf>
    <xf numFmtId="0" fontId="15" fillId="26" borderId="0" xfId="0" applyFont="1" applyFill="1" applyAlignment="1"/>
    <xf numFmtId="0" fontId="36" fillId="0" borderId="8" xfId="0" applyFont="1" applyBorder="1" applyAlignment="1">
      <alignment horizontal="center"/>
    </xf>
    <xf numFmtId="0" fontId="14" fillId="0" borderId="0" xfId="42" applyFont="1" applyAlignment="1">
      <alignment horizontal="left"/>
    </xf>
    <xf numFmtId="0" fontId="14" fillId="0" borderId="0" xfId="42" applyFont="1" applyAlignment="1">
      <alignment horizontal="center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39" fillId="0" borderId="21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0" fillId="27" borderId="19" xfId="0" applyFill="1" applyBorder="1" applyAlignment="1">
      <alignment horizontal="right" vertical="center"/>
    </xf>
    <xf numFmtId="0" fontId="0" fillId="27" borderId="20" xfId="0" applyFill="1" applyBorder="1" applyAlignment="1">
      <alignment horizontal="right" vertical="center"/>
    </xf>
    <xf numFmtId="0" fontId="0" fillId="27" borderId="20" xfId="0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40" fillId="0" borderId="0" xfId="0" applyNumberFormat="1" applyFont="1">
      <alignment vertical="top"/>
    </xf>
    <xf numFmtId="22" fontId="40" fillId="0" borderId="22" xfId="0" applyNumberFormat="1" applyFont="1" applyBorder="1" applyAlignment="1">
      <alignment horizontal="right" vertical="center"/>
    </xf>
    <xf numFmtId="22" fontId="40" fillId="0" borderId="24" xfId="0" applyNumberFormat="1" applyFont="1" applyBorder="1" applyAlignment="1">
      <alignment horizontal="right" vertical="center"/>
    </xf>
    <xf numFmtId="0" fontId="26" fillId="0" borderId="0" xfId="0" applyFont="1" applyAlignment="1"/>
    <xf numFmtId="0" fontId="26" fillId="27" borderId="19" xfId="0" applyFont="1" applyFill="1" applyBorder="1" applyAlignment="1">
      <alignment horizontal="right" vertical="center"/>
    </xf>
    <xf numFmtId="0" fontId="26" fillId="0" borderId="0" xfId="0" applyFont="1" applyFill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 Her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1'!$D$21:$D$235</c:f>
                <c:numCache>
                  <c:formatCode>General</c:formatCode>
                  <c:ptCount val="21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1'!$D$21:$D$235</c:f>
                <c:numCache>
                  <c:formatCode>General</c:formatCode>
                  <c:ptCount val="21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71-4503-8AEF-59EC555132E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  <c:pt idx="0">
                  <c:v>0</c:v>
                </c:pt>
                <c:pt idx="1">
                  <c:v>-2.9334999999264255E-3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71-4503-8AEF-59EC555132E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2">
                  <c:v>0.19346150000637863</c:v>
                </c:pt>
                <c:pt idx="5">
                  <c:v>0.22822850000375183</c:v>
                </c:pt>
                <c:pt idx="6">
                  <c:v>0.27310250000300584</c:v>
                </c:pt>
                <c:pt idx="12">
                  <c:v>0.35718700000143144</c:v>
                </c:pt>
                <c:pt idx="13">
                  <c:v>0.38204800000676187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71-4503-8AEF-59EC555132E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3">
                  <c:v>0.21326100000442239</c:v>
                </c:pt>
                <c:pt idx="4">
                  <c:v>0.21615949999977602</c:v>
                </c:pt>
                <c:pt idx="7">
                  <c:v>0.26102850000461331</c:v>
                </c:pt>
                <c:pt idx="8">
                  <c:v>0.27244500000233529</c:v>
                </c:pt>
                <c:pt idx="9">
                  <c:v>0.28792550000798656</c:v>
                </c:pt>
                <c:pt idx="10">
                  <c:v>0.29631850000441773</c:v>
                </c:pt>
                <c:pt idx="11">
                  <c:v>0.33656400000472786</c:v>
                </c:pt>
                <c:pt idx="14">
                  <c:v>0.43321800000558142</c:v>
                </c:pt>
                <c:pt idx="15">
                  <c:v>0.40848900000855792</c:v>
                </c:pt>
                <c:pt idx="16">
                  <c:v>0.56678199997259071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71-4503-8AEF-59EC555132E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71-4503-8AEF-59EC555132E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71-4503-8AEF-59EC555132E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71-4503-8AEF-59EC555132E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0">
                  <c:v>1.1244849296713655E-2</c:v>
                </c:pt>
                <c:pt idx="1">
                  <c:v>1.25910905752376E-2</c:v>
                </c:pt>
                <c:pt idx="2">
                  <c:v>0.19895629889138369</c:v>
                </c:pt>
                <c:pt idx="3">
                  <c:v>0.21759281972299829</c:v>
                </c:pt>
                <c:pt idx="4">
                  <c:v>0.22095031303208812</c:v>
                </c:pt>
                <c:pt idx="5">
                  <c:v>0.22870336521443085</c:v>
                </c:pt>
                <c:pt idx="6">
                  <c:v>0.25381157604762439</c:v>
                </c:pt>
                <c:pt idx="7">
                  <c:v>0.26665763740414206</c:v>
                </c:pt>
                <c:pt idx="8">
                  <c:v>0.2705990425930736</c:v>
                </c:pt>
                <c:pt idx="9">
                  <c:v>0.28861921199596641</c:v>
                </c:pt>
                <c:pt idx="10">
                  <c:v>0.29325806748582001</c:v>
                </c:pt>
                <c:pt idx="11">
                  <c:v>0.33771646922599025</c:v>
                </c:pt>
                <c:pt idx="12">
                  <c:v>0.35630433073428475</c:v>
                </c:pt>
                <c:pt idx="13">
                  <c:v>0.38261280487604182</c:v>
                </c:pt>
                <c:pt idx="14">
                  <c:v>0.43354289661779105</c:v>
                </c:pt>
                <c:pt idx="15">
                  <c:v>0.408272488040197</c:v>
                </c:pt>
                <c:pt idx="16">
                  <c:v>0.56862117815450686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71-4503-8AEF-59EC55513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365488"/>
        <c:axId val="1"/>
      </c:scatterChart>
      <c:valAx>
        <c:axId val="72536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365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 Her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2'!$D$21:$D$235</c:f>
                <c:numCache>
                  <c:formatCode>General</c:formatCode>
                  <c:ptCount val="21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2'!$D$21:$D$235</c:f>
                <c:numCache>
                  <c:formatCode>General</c:formatCode>
                  <c:ptCount val="21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96-42BE-967D-C947EA74C5B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0">
                  <c:v>0</c:v>
                </c:pt>
                <c:pt idx="1">
                  <c:v>-4.2906999588012695E-3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96-42BE-967D-C947EA74C5B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2">
                  <c:v>4.2220404429826885E-3</c:v>
                </c:pt>
                <c:pt idx="5">
                  <c:v>8.9998268522322178E-3</c:v>
                </c:pt>
                <c:pt idx="12">
                  <c:v>9.3186631202115677E-3</c:v>
                </c:pt>
                <c:pt idx="13">
                  <c:v>7.6570325691136532E-3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96-42BE-967D-C947EA74C5B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3">
                  <c:v>5.2333144849399105E-3</c:v>
                </c:pt>
                <c:pt idx="4">
                  <c:v>4.746990482090041E-3</c:v>
                </c:pt>
                <c:pt idx="7">
                  <c:v>3.536599047947675E-3</c:v>
                </c:pt>
                <c:pt idx="8">
                  <c:v>1.0979610007780138E-2</c:v>
                </c:pt>
                <c:pt idx="9">
                  <c:v>8.2932527075172402E-3</c:v>
                </c:pt>
                <c:pt idx="10">
                  <c:v>1.2009635967842769E-2</c:v>
                </c:pt>
                <c:pt idx="11">
                  <c:v>7.4348336638649926E-3</c:v>
                </c:pt>
                <c:pt idx="14">
                  <c:v>7.4823593604378402E-3</c:v>
                </c:pt>
                <c:pt idx="15">
                  <c:v>8.2294742824160494E-3</c:v>
                </c:pt>
                <c:pt idx="16">
                  <c:v>4.8685126821510494E-3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96-42BE-967D-C947EA74C5B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96-42BE-967D-C947EA74C5B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96-42BE-967D-C947EA74C5B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5.0000000000000001E-4</c:v>
                  </c:pt>
                  <c:pt idx="1">
                    <c:v>5.0000000000000001E-3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1.2999999999999999E-3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96-42BE-967D-C947EA74C5B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0">
                  <c:v>1.4648677578978376E-2</c:v>
                </c:pt>
                <c:pt idx="1">
                  <c:v>1.4625225299429327E-2</c:v>
                </c:pt>
                <c:pt idx="2">
                  <c:v>1.1378638648603126E-2</c:v>
                </c:pt>
                <c:pt idx="3">
                  <c:v>1.1053979983520505E-2</c:v>
                </c:pt>
                <c:pt idx="4">
                  <c:v>1.0995490563440347E-2</c:v>
                </c:pt>
                <c:pt idx="5">
                  <c:v>1.0860428037844618E-2</c:v>
                </c:pt>
                <c:pt idx="6">
                  <c:v>1.0423028896375603E-2</c:v>
                </c:pt>
                <c:pt idx="7">
                  <c:v>1.0199243289112387E-2</c:v>
                </c:pt>
                <c:pt idx="8">
                  <c:v>1.013058179597481E-2</c:v>
                </c:pt>
                <c:pt idx="9">
                  <c:v>9.8166603191194649E-3</c:v>
                </c:pt>
                <c:pt idx="10">
                  <c:v>9.7358488498299721E-3</c:v>
                </c:pt>
                <c:pt idx="11">
                  <c:v>8.9613585095414915E-3</c:v>
                </c:pt>
                <c:pt idx="12">
                  <c:v>8.6375475172136562E-3</c:v>
                </c:pt>
                <c:pt idx="13">
                  <c:v>8.1792391144599498E-3</c:v>
                </c:pt>
                <c:pt idx="14">
                  <c:v>7.2920082977850787E-3</c:v>
                </c:pt>
                <c:pt idx="15">
                  <c:v>7.7322330151033741E-3</c:v>
                </c:pt>
                <c:pt idx="16">
                  <c:v>4.9388687305021699E-3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96-42BE-967D-C947EA74C5B6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41.5</c:v>
                </c:pt>
                <c:pt idx="2">
                  <c:v>5786.5</c:v>
                </c:pt>
                <c:pt idx="3">
                  <c:v>6361</c:v>
                </c:pt>
                <c:pt idx="4">
                  <c:v>6464.5</c:v>
                </c:pt>
                <c:pt idx="5">
                  <c:v>6703.5</c:v>
                </c:pt>
                <c:pt idx="6">
                  <c:v>7477.5</c:v>
                </c:pt>
                <c:pt idx="7">
                  <c:v>7873.5</c:v>
                </c:pt>
                <c:pt idx="8">
                  <c:v>7995</c:v>
                </c:pt>
                <c:pt idx="9">
                  <c:v>8550.5</c:v>
                </c:pt>
                <c:pt idx="10">
                  <c:v>8693.5</c:v>
                </c:pt>
                <c:pt idx="11">
                  <c:v>10064</c:v>
                </c:pt>
                <c:pt idx="12">
                  <c:v>10637</c:v>
                </c:pt>
                <c:pt idx="13">
                  <c:v>11448</c:v>
                </c:pt>
                <c:pt idx="14">
                  <c:v>13018</c:v>
                </c:pt>
                <c:pt idx="15">
                  <c:v>12239</c:v>
                </c:pt>
                <c:pt idx="16">
                  <c:v>17182</c:v>
                </c:pt>
              </c:numCache>
            </c:numRef>
          </c:xVal>
          <c:yVal>
            <c:numRef>
              <c:f>'Active 2'!$U$21:$U$995</c:f>
              <c:numCache>
                <c:formatCode>General</c:formatCode>
                <c:ptCount val="975"/>
                <c:pt idx="6">
                  <c:v>2.8561229999468196E-2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96-42BE-967D-C947EA74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91864"/>
        <c:axId val="1"/>
      </c:scatterChart>
      <c:valAx>
        <c:axId val="685891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91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0A1DC8-7FE0-17E7-F15E-F4F122636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D4249A9C-55B1-C82D-FD94-A458AD239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8" TargetMode="External"/><Relationship Id="rId3" Type="http://schemas.openxmlformats.org/officeDocument/2006/relationships/hyperlink" Target="http://var.astro.cz/oejv/issues/oejv094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94.pdf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6"/>
  <sheetViews>
    <sheetView tabSelected="1" workbookViewId="0">
      <selection activeCell="E8" sqref="E8: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27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38</v>
      </c>
      <c r="D4" s="9" t="s">
        <v>38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51285.700599999996</v>
      </c>
      <c r="D7" s="76" t="s">
        <v>139</v>
      </c>
    </row>
    <row r="8" spans="1:6" x14ac:dyDescent="0.2">
      <c r="A8" t="s">
        <v>7</v>
      </c>
      <c r="C8">
        <v>0.51024899999999995</v>
      </c>
      <c r="D8" s="78" t="s">
        <v>139</v>
      </c>
    </row>
    <row r="9" spans="1:6" x14ac:dyDescent="0.2">
      <c r="A9" s="24" t="s">
        <v>36</v>
      </c>
      <c r="B9" s="25">
        <v>23</v>
      </c>
      <c r="C9" s="22" t="str">
        <f>"F"&amp;B9</f>
        <v>F23</v>
      </c>
      <c r="D9" s="23" t="str">
        <f>"G"&amp;B9</f>
        <v>G23</v>
      </c>
      <c r="F9" s="76"/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1">
        <f ca="1">INTERCEPT(INDIRECT($D$9):G989,INDIRECT($C$9):F989)</f>
        <v>1.1244849296713655E-2</v>
      </c>
      <c r="D11" s="3"/>
      <c r="E11" s="12"/>
    </row>
    <row r="12" spans="1:6" x14ac:dyDescent="0.2">
      <c r="A12" s="12" t="s">
        <v>20</v>
      </c>
      <c r="B12" s="12"/>
      <c r="C12" s="21">
        <f ca="1">SLOPE(INDIRECT($D$9):G989,INDIRECT($C$9):F989)</f>
        <v>3.2439548880095053E-5</v>
      </c>
      <c r="D12" s="3"/>
      <c r="E12" s="77" t="s">
        <v>138</v>
      </c>
      <c r="F12" s="70" t="s">
        <v>137</v>
      </c>
    </row>
    <row r="13" spans="1:6" x14ac:dyDescent="0.2">
      <c r="A13" s="12" t="s">
        <v>22</v>
      </c>
      <c r="B13" s="12"/>
      <c r="C13" s="3" t="s">
        <v>17</v>
      </c>
      <c r="E13" s="66" t="s">
        <v>44</v>
      </c>
      <c r="F13" s="71">
        <v>1</v>
      </c>
    </row>
    <row r="14" spans="1:6" x14ac:dyDescent="0.2">
      <c r="A14" s="12"/>
      <c r="B14" s="12"/>
      <c r="C14" s="12"/>
      <c r="E14" s="66" t="s">
        <v>34</v>
      </c>
      <c r="F14" s="72">
        <f ca="1">NOW()+15018.5+$C$5/24</f>
        <v>60680.795617592594</v>
      </c>
    </row>
    <row r="15" spans="1:6" x14ac:dyDescent="0.2">
      <c r="A15" s="14" t="s">
        <v>21</v>
      </c>
      <c r="B15" s="12"/>
      <c r="C15" s="15">
        <f ca="1">(C7+C11)+(C8+C12)*INT(MAX(F21:F3530))</f>
        <v>60053.367539178151</v>
      </c>
      <c r="E15" s="66" t="s">
        <v>45</v>
      </c>
      <c r="F15" s="72">
        <f ca="1">ROUND(2*($F$14-$C$7)/$C$8,0)/2+$F$13</f>
        <v>18414</v>
      </c>
    </row>
    <row r="16" spans="1:6" x14ac:dyDescent="0.2">
      <c r="A16" s="17" t="s">
        <v>8</v>
      </c>
      <c r="B16" s="12"/>
      <c r="C16" s="18">
        <f ca="1">+C8+C12</f>
        <v>0.51028143954888006</v>
      </c>
      <c r="E16" s="66" t="s">
        <v>35</v>
      </c>
      <c r="F16" s="72">
        <f ca="1">ROUND(2*($F$14-$C$15)/$C$16,0)/2+$F$13</f>
        <v>1230.5</v>
      </c>
    </row>
    <row r="17" spans="1:17" ht="13.5" thickBot="1" x14ac:dyDescent="0.25">
      <c r="A17" s="16" t="s">
        <v>31</v>
      </c>
      <c r="B17" s="12"/>
      <c r="C17" s="12">
        <f>COUNT(C21:C2188)</f>
        <v>17</v>
      </c>
      <c r="E17" s="66" t="s">
        <v>135</v>
      </c>
      <c r="F17" s="74">
        <f ca="1">+$C$15+$C$16*$F$16-15018.5-$C$5/24</f>
        <v>45663.164683876385</v>
      </c>
    </row>
    <row r="18" spans="1:17" ht="14.25" thickTop="1" thickBot="1" x14ac:dyDescent="0.25">
      <c r="A18" s="17" t="s">
        <v>9</v>
      </c>
      <c r="B18" s="12"/>
      <c r="C18" s="20">
        <f ca="1">+C15</f>
        <v>60053.367539178151</v>
      </c>
      <c r="D18" s="65">
        <f ca="1">+C16</f>
        <v>0.51028143954888006</v>
      </c>
      <c r="E18" s="67" t="s">
        <v>136</v>
      </c>
      <c r="F18" s="75">
        <f ca="1">+($C$15+$C$16*$F$16)-($C$16/2)-15018.5-$C$5/24</f>
        <v>45662.909543156609</v>
      </c>
    </row>
    <row r="19" spans="1:17" ht="13.5" thickTop="1" x14ac:dyDescent="0.2">
      <c r="E19" s="16"/>
      <c r="F19" s="73"/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61</v>
      </c>
      <c r="I20" s="7" t="s">
        <v>64</v>
      </c>
      <c r="J20" s="7" t="s">
        <v>58</v>
      </c>
      <c r="K20" s="7" t="s">
        <v>56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27" t="s">
        <v>43</v>
      </c>
      <c r="B21" s="28" t="s">
        <v>41</v>
      </c>
      <c r="C21" s="27">
        <v>51285.700599999996</v>
      </c>
      <c r="D21" s="27">
        <v>5.0000000000000001E-4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1.1244849296713655E-2</v>
      </c>
      <c r="Q21" s="2">
        <f>+C21-15018.5</f>
        <v>36267.200599999996</v>
      </c>
    </row>
    <row r="22" spans="1:17" x14ac:dyDescent="0.2">
      <c r="A22" s="27" t="s">
        <v>43</v>
      </c>
      <c r="B22" s="28" t="s">
        <v>40</v>
      </c>
      <c r="C22" s="27">
        <v>51306.873</v>
      </c>
      <c r="D22" s="27">
        <v>5.0000000000000001E-3</v>
      </c>
      <c r="E22">
        <f t="shared" ref="E22:E35" si="0">+(C22-C$7)/C$8</f>
        <v>41.494250846161599</v>
      </c>
      <c r="F22">
        <f>ROUND(2*E22,0)/2</f>
        <v>41.5</v>
      </c>
      <c r="G22">
        <f t="shared" ref="G22:G35" si="1">+C22-(C$7+F22*C$8)</f>
        <v>-2.9334999999264255E-3</v>
      </c>
      <c r="I22">
        <f>+G22</f>
        <v>-2.9334999999264255E-3</v>
      </c>
      <c r="O22">
        <f t="shared" ref="O22:O35" ca="1" si="2">+C$11+C$12*$F22</f>
        <v>1.25910905752376E-2</v>
      </c>
      <c r="Q22" s="2">
        <f t="shared" ref="Q22:Q35" si="3">+C22-15018.5</f>
        <v>36288.373</v>
      </c>
    </row>
    <row r="23" spans="1:17" x14ac:dyDescent="0.2">
      <c r="A23" s="29" t="s">
        <v>42</v>
      </c>
      <c r="B23" s="30" t="s">
        <v>41</v>
      </c>
      <c r="C23" s="29">
        <v>54238.4499</v>
      </c>
      <c r="D23" s="29">
        <v>4.0000000000000002E-4</v>
      </c>
      <c r="E23">
        <f t="shared" si="0"/>
        <v>5786.8791511595382</v>
      </c>
      <c r="F23" s="26">
        <f t="shared" ref="F23:F34" si="4">ROUND(2*E23,0)/2-0.5</f>
        <v>5786.5</v>
      </c>
      <c r="G23">
        <f t="shared" si="1"/>
        <v>0.19346150000637863</v>
      </c>
      <c r="J23">
        <f>+G23</f>
        <v>0.19346150000637863</v>
      </c>
      <c r="O23">
        <f t="shared" ca="1" si="2"/>
        <v>0.19895629889138369</v>
      </c>
      <c r="Q23" s="2">
        <f t="shared" si="3"/>
        <v>39219.9499</v>
      </c>
    </row>
    <row r="24" spans="1:17" x14ac:dyDescent="0.2">
      <c r="A24" s="33" t="s">
        <v>3</v>
      </c>
      <c r="B24" s="30" t="s">
        <v>40</v>
      </c>
      <c r="C24" s="34">
        <v>54531.607750000003</v>
      </c>
      <c r="D24" s="34">
        <v>1E-4</v>
      </c>
      <c r="E24">
        <f t="shared" si="0"/>
        <v>6361.4179547632757</v>
      </c>
      <c r="F24" s="26">
        <f t="shared" si="4"/>
        <v>6361</v>
      </c>
      <c r="G24">
        <f t="shared" si="1"/>
        <v>0.21326100000442239</v>
      </c>
      <c r="K24">
        <f>+G24</f>
        <v>0.21326100000442239</v>
      </c>
      <c r="O24">
        <f t="shared" ca="1" si="2"/>
        <v>0.21759281972299829</v>
      </c>
      <c r="Q24" s="2">
        <f t="shared" si="3"/>
        <v>39513.107750000003</v>
      </c>
    </row>
    <row r="25" spans="1:17" x14ac:dyDescent="0.2">
      <c r="A25" s="33" t="s">
        <v>3</v>
      </c>
      <c r="B25" s="30" t="s">
        <v>41</v>
      </c>
      <c r="C25" s="34">
        <v>54584.421419999999</v>
      </c>
      <c r="D25" s="34">
        <v>2.0000000000000001E-4</v>
      </c>
      <c r="E25">
        <f t="shared" si="0"/>
        <v>6464.9236353231508</v>
      </c>
      <c r="F25" s="26">
        <f t="shared" si="4"/>
        <v>6464.5</v>
      </c>
      <c r="G25">
        <f t="shared" si="1"/>
        <v>0.21615949999977602</v>
      </c>
      <c r="K25">
        <f>+G25</f>
        <v>0.21615949999977602</v>
      </c>
      <c r="O25">
        <f t="shared" ca="1" si="2"/>
        <v>0.22095031303208812</v>
      </c>
      <c r="Q25" s="2">
        <f t="shared" si="3"/>
        <v>39565.921419999999</v>
      </c>
    </row>
    <row r="26" spans="1:17" x14ac:dyDescent="0.2">
      <c r="A26" s="31" t="s">
        <v>47</v>
      </c>
      <c r="B26" s="32" t="s">
        <v>41</v>
      </c>
      <c r="C26" s="31">
        <v>54706.383000000002</v>
      </c>
      <c r="D26" s="31">
        <v>4.0000000000000002E-4</v>
      </c>
      <c r="E26">
        <f t="shared" si="0"/>
        <v>6703.9472884807328</v>
      </c>
      <c r="F26" s="26">
        <f t="shared" si="4"/>
        <v>6703.5</v>
      </c>
      <c r="G26">
        <f t="shared" si="1"/>
        <v>0.22822850000375183</v>
      </c>
      <c r="J26">
        <f>+G26</f>
        <v>0.22822850000375183</v>
      </c>
      <c r="O26">
        <f t="shared" ca="1" si="2"/>
        <v>0.22870336521443085</v>
      </c>
      <c r="Q26" s="2">
        <f t="shared" si="3"/>
        <v>39687.883000000002</v>
      </c>
    </row>
    <row r="27" spans="1:17" x14ac:dyDescent="0.2">
      <c r="A27" s="31" t="s">
        <v>49</v>
      </c>
      <c r="B27" s="32" t="s">
        <v>41</v>
      </c>
      <c r="C27" s="31">
        <v>55101.3606</v>
      </c>
      <c r="D27" s="31">
        <v>4.0000000000000002E-4</v>
      </c>
      <c r="E27">
        <f t="shared" si="0"/>
        <v>7478.0352337780259</v>
      </c>
      <c r="F27" s="26">
        <f t="shared" si="4"/>
        <v>7477.5</v>
      </c>
      <c r="G27">
        <f t="shared" si="1"/>
        <v>0.27310250000300584</v>
      </c>
      <c r="J27">
        <f>+G27</f>
        <v>0.27310250000300584</v>
      </c>
      <c r="O27">
        <f t="shared" ca="1" si="2"/>
        <v>0.25381157604762439</v>
      </c>
      <c r="Q27" s="2">
        <f t="shared" si="3"/>
        <v>40082.8606</v>
      </c>
    </row>
    <row r="28" spans="1:17" x14ac:dyDescent="0.2">
      <c r="A28" s="33" t="s">
        <v>46</v>
      </c>
      <c r="B28" s="30" t="s">
        <v>40</v>
      </c>
      <c r="C28" s="29">
        <v>55303.40713</v>
      </c>
      <c r="D28" s="29">
        <v>2.0000000000000001E-4</v>
      </c>
      <c r="E28">
        <f t="shared" si="0"/>
        <v>7874.0115708213116</v>
      </c>
      <c r="F28" s="26">
        <f t="shared" si="4"/>
        <v>7873.5</v>
      </c>
      <c r="G28">
        <f t="shared" si="1"/>
        <v>0.26102850000461331</v>
      </c>
      <c r="K28">
        <f>+G28</f>
        <v>0.26102850000461331</v>
      </c>
      <c r="O28">
        <f t="shared" ca="1" si="2"/>
        <v>0.26665763740414206</v>
      </c>
      <c r="Q28" s="2">
        <f t="shared" si="3"/>
        <v>40284.90713</v>
      </c>
    </row>
    <row r="29" spans="1:17" x14ac:dyDescent="0.2">
      <c r="A29" s="33" t="s">
        <v>46</v>
      </c>
      <c r="B29" s="30" t="s">
        <v>41</v>
      </c>
      <c r="C29" s="29">
        <v>55365.413800000002</v>
      </c>
      <c r="D29" s="29">
        <v>2.9999999999999997E-4</v>
      </c>
      <c r="E29">
        <f t="shared" si="0"/>
        <v>7995.533945191477</v>
      </c>
      <c r="F29" s="26">
        <f t="shared" si="4"/>
        <v>7995</v>
      </c>
      <c r="G29">
        <f t="shared" si="1"/>
        <v>0.27244500000233529</v>
      </c>
      <c r="K29">
        <f>+G29</f>
        <v>0.27244500000233529</v>
      </c>
      <c r="O29">
        <f t="shared" ca="1" si="2"/>
        <v>0.2705990425930736</v>
      </c>
      <c r="Q29" s="2">
        <f t="shared" si="3"/>
        <v>40346.913800000002</v>
      </c>
    </row>
    <row r="30" spans="1:17" x14ac:dyDescent="0.2">
      <c r="A30" s="36" t="s">
        <v>51</v>
      </c>
      <c r="B30" s="35" t="s">
        <v>40</v>
      </c>
      <c r="C30" s="29">
        <v>55648.872600000002</v>
      </c>
      <c r="D30" s="29">
        <v>2.9999999999999997E-4</v>
      </c>
      <c r="E30">
        <f t="shared" si="0"/>
        <v>8551.0642843004225</v>
      </c>
      <c r="F30" s="26">
        <f t="shared" si="4"/>
        <v>8550.5</v>
      </c>
      <c r="G30">
        <f t="shared" si="1"/>
        <v>0.28792550000798656</v>
      </c>
      <c r="K30">
        <f>+G30</f>
        <v>0.28792550000798656</v>
      </c>
      <c r="O30">
        <f t="shared" ca="1" si="2"/>
        <v>0.28861921199596641</v>
      </c>
      <c r="Q30" s="2">
        <f t="shared" si="3"/>
        <v>40630.372600000002</v>
      </c>
    </row>
    <row r="31" spans="1:17" x14ac:dyDescent="0.2">
      <c r="A31" s="31" t="s">
        <v>50</v>
      </c>
      <c r="B31" s="32" t="s">
        <v>41</v>
      </c>
      <c r="C31" s="31">
        <v>55721.846599999997</v>
      </c>
      <c r="D31" s="31">
        <v>1.2999999999999999E-3</v>
      </c>
      <c r="E31">
        <f t="shared" si="0"/>
        <v>8694.0807331322576</v>
      </c>
      <c r="F31" s="26">
        <f t="shared" si="4"/>
        <v>8693.5</v>
      </c>
      <c r="G31">
        <f t="shared" si="1"/>
        <v>0.29631850000441773</v>
      </c>
      <c r="K31">
        <f>+G31</f>
        <v>0.29631850000441773</v>
      </c>
      <c r="O31">
        <f t="shared" ca="1" si="2"/>
        <v>0.29325806748582001</v>
      </c>
      <c r="Q31" s="2">
        <f t="shared" si="3"/>
        <v>40703.346599999997</v>
      </c>
    </row>
    <row r="32" spans="1:17" x14ac:dyDescent="0.2">
      <c r="A32" s="52" t="s">
        <v>121</v>
      </c>
      <c r="B32" s="54" t="s">
        <v>41</v>
      </c>
      <c r="C32" s="53">
        <v>56421.183100000002</v>
      </c>
      <c r="D32" s="53" t="s">
        <v>64</v>
      </c>
      <c r="E32">
        <f t="shared" si="0"/>
        <v>10064.659607368179</v>
      </c>
      <c r="F32" s="26">
        <f t="shared" si="4"/>
        <v>10064</v>
      </c>
      <c r="G32">
        <f t="shared" si="1"/>
        <v>0.33656400000472786</v>
      </c>
      <c r="K32">
        <f>+G32</f>
        <v>0.33656400000472786</v>
      </c>
      <c r="O32">
        <f t="shared" ca="1" si="2"/>
        <v>0.33771646922599025</v>
      </c>
      <c r="Q32" s="2">
        <f t="shared" si="3"/>
        <v>41402.683100000002</v>
      </c>
    </row>
    <row r="33" spans="1:17" x14ac:dyDescent="0.2">
      <c r="A33" s="37" t="s">
        <v>52</v>
      </c>
      <c r="B33" s="38"/>
      <c r="C33" s="37">
        <v>56713.576399999998</v>
      </c>
      <c r="D33" s="37">
        <v>2.0000000000000001E-4</v>
      </c>
      <c r="E33">
        <f t="shared" si="0"/>
        <v>10637.700024889813</v>
      </c>
      <c r="F33" s="26">
        <f t="shared" si="4"/>
        <v>10637</v>
      </c>
      <c r="G33">
        <f t="shared" si="1"/>
        <v>0.35718700000143144</v>
      </c>
      <c r="J33">
        <f>+G33</f>
        <v>0.35718700000143144</v>
      </c>
      <c r="O33">
        <f t="shared" ca="1" si="2"/>
        <v>0.35630433073428475</v>
      </c>
      <c r="Q33" s="2">
        <f t="shared" si="3"/>
        <v>41695.076399999998</v>
      </c>
    </row>
    <row r="34" spans="1:17" x14ac:dyDescent="0.2">
      <c r="A34" s="29" t="s">
        <v>53</v>
      </c>
      <c r="B34" s="30"/>
      <c r="C34" s="29">
        <v>57127.413200000003</v>
      </c>
      <c r="D34" s="29">
        <v>2.0000000000000001E-4</v>
      </c>
      <c r="E34" s="55">
        <f t="shared" si="0"/>
        <v>11448.748748160226</v>
      </c>
      <c r="F34" s="26">
        <f t="shared" si="4"/>
        <v>11448</v>
      </c>
      <c r="G34">
        <f t="shared" si="1"/>
        <v>0.38204800000676187</v>
      </c>
      <c r="J34">
        <f>+G34</f>
        <v>0.38204800000676187</v>
      </c>
      <c r="O34">
        <f t="shared" ca="1" si="2"/>
        <v>0.38261280487604182</v>
      </c>
      <c r="Q34" s="2">
        <f t="shared" si="3"/>
        <v>42108.913200000003</v>
      </c>
    </row>
    <row r="35" spans="1:17" x14ac:dyDescent="0.2">
      <c r="A35" s="56" t="s">
        <v>1</v>
      </c>
      <c r="B35" s="57" t="s">
        <v>41</v>
      </c>
      <c r="C35" s="57">
        <v>57928.5553</v>
      </c>
      <c r="D35" s="57">
        <v>1E-4</v>
      </c>
      <c r="E35" s="55">
        <f t="shared" si="0"/>
        <v>13018.849032531183</v>
      </c>
      <c r="F35" s="58">
        <f>ROUND(2*E35,0)/2-1</f>
        <v>13018</v>
      </c>
      <c r="G35">
        <f t="shared" si="1"/>
        <v>0.43321800000558142</v>
      </c>
      <c r="K35">
        <f>+G35</f>
        <v>0.43321800000558142</v>
      </c>
      <c r="O35">
        <f t="shared" ca="1" si="2"/>
        <v>0.43354289661779105</v>
      </c>
      <c r="Q35" s="2">
        <f t="shared" si="3"/>
        <v>42910.0553</v>
      </c>
    </row>
    <row r="36" spans="1:17" x14ac:dyDescent="0.2">
      <c r="A36" s="60" t="s">
        <v>0</v>
      </c>
      <c r="B36" s="61" t="s">
        <v>41</v>
      </c>
      <c r="C36" s="60">
        <v>57531.046600000001</v>
      </c>
      <c r="D36" s="60" t="s">
        <v>119</v>
      </c>
      <c r="E36" s="55">
        <f>+(C36-C$7)/C$8</f>
        <v>12239.800567958007</v>
      </c>
      <c r="F36" s="58">
        <f>ROUND(2*E36,0)/2-1</f>
        <v>12239</v>
      </c>
      <c r="G36">
        <f>+C36-(C$7+F36*C$8)</f>
        <v>0.40848900000855792</v>
      </c>
      <c r="K36">
        <f>+G36</f>
        <v>0.40848900000855792</v>
      </c>
      <c r="O36">
        <f ca="1">+C$11+C$12*$F36</f>
        <v>0.408272488040197</v>
      </c>
      <c r="Q36" s="2">
        <f>+C36-15018.5</f>
        <v>42512.546600000001</v>
      </c>
    </row>
    <row r="37" spans="1:17" x14ac:dyDescent="0.2">
      <c r="A37" s="62" t="s">
        <v>134</v>
      </c>
      <c r="B37" s="63" t="s">
        <v>41</v>
      </c>
      <c r="C37" s="64">
        <v>60053.365699999966</v>
      </c>
      <c r="D37" s="62">
        <v>2.9999999999999997E-4</v>
      </c>
      <c r="E37" s="55">
        <f>+(C37-C$7)/C$8</f>
        <v>17183.110794925557</v>
      </c>
      <c r="F37" s="58">
        <f>ROUND(2*E37,0)/2-1</f>
        <v>17182</v>
      </c>
      <c r="G37">
        <f>+C37-(C$7+F37*C$8)</f>
        <v>0.56678199997259071</v>
      </c>
      <c r="K37">
        <f>+G37</f>
        <v>0.56678199997259071</v>
      </c>
      <c r="O37">
        <f ca="1">+C$11+C$12*$F37</f>
        <v>0.56862117815450686</v>
      </c>
      <c r="Q37" s="2">
        <f>+C37-15018.5</f>
        <v>45034.865699999966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phoneticPr fontId="7" type="noConversion"/>
  <hyperlinks>
    <hyperlink ref="H64367" r:id="rId1" display="http://vsolj.cetus-net.org/bulletin.html" xr:uid="{00000000-0004-0000-0000-000000000000}"/>
    <hyperlink ref="H64360" r:id="rId2" display="https://www.aavso.org/ejaavso" xr:uid="{00000000-0004-0000-0000-000001000000}"/>
    <hyperlink ref="AP511" r:id="rId3" display="http://cdsbib.u-strasbg.fr/cgi-bin/cdsbib?1990RMxAA..21..381G" xr:uid="{00000000-0004-0000-0000-000002000000}"/>
    <hyperlink ref="AP515" r:id="rId4" display="http://cdsbib.u-strasbg.fr/cgi-bin/cdsbib?1990RMxAA..21..381G" xr:uid="{00000000-0004-0000-0000-000003000000}"/>
    <hyperlink ref="AP514" r:id="rId5" display="http://cdsbib.u-strasbg.fr/cgi-bin/cdsbib?1990RMxAA..21..381G" xr:uid="{00000000-0004-0000-0000-000004000000}"/>
    <hyperlink ref="AP495" r:id="rId6" display="http://cdsbib.u-strasbg.fr/cgi-bin/cdsbib?1990RMxAA..21..381G" xr:uid="{00000000-0004-0000-0000-000005000000}"/>
    <hyperlink ref="I64367" r:id="rId7" display="http://vsolj.cetus-net.org/bulletin.html" xr:uid="{00000000-0004-0000-0000-000006000000}"/>
    <hyperlink ref="AQ651" r:id="rId8" display="http://cdsbib.u-strasbg.fr/cgi-bin/cdsbib?1990RMxAA..21..381G" xr:uid="{00000000-0004-0000-0000-000007000000}"/>
    <hyperlink ref="AQ55417" r:id="rId9" display="http://cdsbib.u-strasbg.fr/cgi-bin/cdsbib?1990RMxAA..21..381G" xr:uid="{00000000-0004-0000-0000-000008000000}"/>
    <hyperlink ref="AQ652" r:id="rId10" display="http://cdsbib.u-strasbg.fr/cgi-bin/cdsbib?1990RMxAA..21..381G" xr:uid="{00000000-0004-0000-0000-000009000000}"/>
    <hyperlink ref="H64364" r:id="rId11" display="https://www.aavso.org/ejaavso" xr:uid="{00000000-0004-0000-0000-00000A000000}"/>
    <hyperlink ref="H1537" r:id="rId12" display="http://vsolj.cetus-net.org/bulletin.html" xr:uid="{00000000-0004-0000-0000-00000B000000}"/>
    <hyperlink ref="AP2781" r:id="rId13" display="http://cdsbib.u-strasbg.fr/cgi-bin/cdsbib?1990RMxAA..21..381G" xr:uid="{00000000-0004-0000-0000-00000C000000}"/>
    <hyperlink ref="AP2784" r:id="rId14" display="http://cdsbib.u-strasbg.fr/cgi-bin/cdsbib?1990RMxAA..21..381G" xr:uid="{00000000-0004-0000-0000-00000D000000}"/>
    <hyperlink ref="AP2782" r:id="rId15" display="http://cdsbib.u-strasbg.fr/cgi-bin/cdsbib?1990RMxAA..21..381G" xr:uid="{00000000-0004-0000-0000-00000E000000}"/>
    <hyperlink ref="AP2766" r:id="rId16" display="http://cdsbib.u-strasbg.fr/cgi-bin/cdsbib?1990RMxAA..21..381G" xr:uid="{00000000-0004-0000-0000-00000F000000}"/>
    <hyperlink ref="I1537" r:id="rId17" display="http://vsolj.cetus-net.org/bulletin.html" xr:uid="{00000000-0004-0000-0000-000010000000}"/>
    <hyperlink ref="AQ2995" r:id="rId18" display="http://cdsbib.u-strasbg.fr/cgi-bin/cdsbib?1990RMxAA..21..381G" xr:uid="{00000000-0004-0000-0000-000011000000}"/>
    <hyperlink ref="AQ65232" r:id="rId19" display="http://cdsbib.u-strasbg.fr/cgi-bin/cdsbib?1990RMxAA..21..381G" xr:uid="{00000000-0004-0000-0000-000012000000}"/>
    <hyperlink ref="AQ299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36"/>
  <sheetViews>
    <sheetView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27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38</v>
      </c>
      <c r="D4" s="9" t="s">
        <v>38</v>
      </c>
    </row>
    <row r="5" spans="1:6" ht="13.5" thickTop="1" x14ac:dyDescent="0.2">
      <c r="A5" s="11" t="s">
        <v>32</v>
      </c>
      <c r="B5" s="12"/>
      <c r="C5" s="13">
        <v>8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51285.700599999996</v>
      </c>
    </row>
    <row r="8" spans="1:6" x14ac:dyDescent="0.2">
      <c r="A8" t="s">
        <v>7</v>
      </c>
      <c r="C8">
        <v>0.51028170361350778</v>
      </c>
    </row>
    <row r="9" spans="1:6" x14ac:dyDescent="0.2">
      <c r="A9" s="24" t="s">
        <v>36</v>
      </c>
      <c r="B9" s="25">
        <v>30</v>
      </c>
      <c r="C9" s="22" t="str">
        <f>"F"&amp;B9</f>
        <v>F30</v>
      </c>
      <c r="D9" s="23" t="str">
        <f>"G"&amp;B9</f>
        <v>G30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1">
        <f ca="1">INTERCEPT(INDIRECT($D$9):G989,INDIRECT($C$9):F989)</f>
        <v>1.4648677578978376E-2</v>
      </c>
      <c r="D11" s="3"/>
      <c r="E11" s="12"/>
    </row>
    <row r="12" spans="1:6" x14ac:dyDescent="0.2">
      <c r="A12" s="12" t="s">
        <v>20</v>
      </c>
      <c r="B12" s="12"/>
      <c r="C12" s="21">
        <f ca="1">SLOPE(INDIRECT($D$9):G989,INDIRECT($C$9):F989)</f>
        <v>-5.6511516985660608E-7</v>
      </c>
      <c r="D12" s="3"/>
      <c r="E12" s="68" t="s">
        <v>138</v>
      </c>
      <c r="F12" s="69" t="s">
        <v>137</v>
      </c>
    </row>
    <row r="13" spans="1:6" x14ac:dyDescent="0.2">
      <c r="A13" s="12" t="s">
        <v>22</v>
      </c>
      <c r="B13" s="12"/>
      <c r="C13" s="3" t="s">
        <v>17</v>
      </c>
      <c r="E13" s="66" t="s">
        <v>44</v>
      </c>
      <c r="F13" s="71">
        <v>1</v>
      </c>
    </row>
    <row r="14" spans="1:6" x14ac:dyDescent="0.2">
      <c r="A14" s="12"/>
      <c r="B14" s="12"/>
      <c r="C14" s="12"/>
      <c r="E14" s="66" t="s">
        <v>34</v>
      </c>
      <c r="F14" s="72">
        <f ca="1">NOW()+15018.5+$C$5/24</f>
        <v>60681.524784259265</v>
      </c>
    </row>
    <row r="15" spans="1:6" x14ac:dyDescent="0.2">
      <c r="A15" s="14" t="s">
        <v>21</v>
      </c>
      <c r="B15" s="12"/>
      <c r="C15" s="15">
        <f ca="1">(C7+C11)+(C8+C12)*INT(MAX(F21:F3530))</f>
        <v>60053.365770356017</v>
      </c>
      <c r="E15" s="66" t="s">
        <v>45</v>
      </c>
      <c r="F15" s="72">
        <f ca="1">ROUND(2*($F$14-$C$7)/$C$8,0)/2+$F$13</f>
        <v>18414</v>
      </c>
    </row>
    <row r="16" spans="1:6" x14ac:dyDescent="0.2">
      <c r="A16" s="17" t="s">
        <v>8</v>
      </c>
      <c r="B16" s="12"/>
      <c r="C16" s="18">
        <f ca="1">+C8+C12</f>
        <v>0.51028113849833789</v>
      </c>
      <c r="E16" s="66" t="s">
        <v>35</v>
      </c>
      <c r="F16" s="72">
        <f ca="1">ROUND(2*($F$14-$C$15)/$C$16,0)/2+$F$13</f>
        <v>1232</v>
      </c>
    </row>
    <row r="17" spans="1:21" ht="13.5" thickBot="1" x14ac:dyDescent="0.25">
      <c r="A17" s="16" t="s">
        <v>31</v>
      </c>
      <c r="B17" s="12"/>
      <c r="C17" s="12">
        <f>COUNT(C21:C2188)</f>
        <v>17</v>
      </c>
      <c r="E17" s="66" t="s">
        <v>135</v>
      </c>
      <c r="F17" s="74">
        <f ca="1">+$C$15+$C$16*$F$16-15018.5-$C$5/24</f>
        <v>45663.19879965263</v>
      </c>
    </row>
    <row r="18" spans="1:21" ht="14.25" thickTop="1" thickBot="1" x14ac:dyDescent="0.25">
      <c r="A18" s="17" t="s">
        <v>9</v>
      </c>
      <c r="B18" s="12"/>
      <c r="C18" s="20">
        <f ca="1">+C15</f>
        <v>60053.365770356017</v>
      </c>
      <c r="D18" s="65">
        <f ca="1">+C16</f>
        <v>0.51028113849833789</v>
      </c>
      <c r="E18" s="67" t="s">
        <v>136</v>
      </c>
      <c r="F18" s="75">
        <f ca="1">+($C$15+$C$16*$F$16)-($C$16/2)-15018.5-$C$5/24</f>
        <v>45662.943659083379</v>
      </c>
    </row>
    <row r="19" spans="1:21" ht="13.5" thickTop="1" x14ac:dyDescent="0.2">
      <c r="E19" s="16"/>
      <c r="F19" s="19"/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61</v>
      </c>
      <c r="I20" s="7" t="s">
        <v>64</v>
      </c>
      <c r="J20" s="7" t="s">
        <v>58</v>
      </c>
      <c r="K20" s="7" t="s">
        <v>56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59" t="s">
        <v>2</v>
      </c>
    </row>
    <row r="21" spans="1:21" x14ac:dyDescent="0.2">
      <c r="A21" s="27" t="s">
        <v>43</v>
      </c>
      <c r="B21" s="28" t="s">
        <v>41</v>
      </c>
      <c r="C21" s="27">
        <v>51285.700599999996</v>
      </c>
      <c r="D21" s="27">
        <v>5.0000000000000001E-4</v>
      </c>
      <c r="E21">
        <f t="shared" ref="E21:E35" si="0">+(C21-C$7)/C$8</f>
        <v>0</v>
      </c>
      <c r="F21">
        <f>ROUND(2*E21,0)/2</f>
        <v>0</v>
      </c>
      <c r="G21">
        <f t="shared" ref="G21:G35" si="1">+C21-(C$7+F21*C$8)</f>
        <v>0</v>
      </c>
      <c r="I21">
        <f>+G21</f>
        <v>0</v>
      </c>
      <c r="O21">
        <f t="shared" ref="O21:O35" ca="1" si="2">+C$11+C$12*$F21</f>
        <v>1.4648677578978376E-2</v>
      </c>
      <c r="Q21" s="2">
        <f t="shared" ref="Q21:Q35" si="3">+C21-15018.5</f>
        <v>36267.200599999996</v>
      </c>
    </row>
    <row r="22" spans="1:21" x14ac:dyDescent="0.2">
      <c r="A22" s="27" t="s">
        <v>43</v>
      </c>
      <c r="B22" s="28" t="s">
        <v>40</v>
      </c>
      <c r="C22" s="27">
        <v>51306.873</v>
      </c>
      <c r="D22" s="27">
        <v>5.0000000000000001E-3</v>
      </c>
      <c r="E22">
        <f t="shared" si="0"/>
        <v>41.491591507343728</v>
      </c>
      <c r="F22">
        <f t="shared" ref="F22:F36" si="4">ROUND(2*E22,0)/2</f>
        <v>41.5</v>
      </c>
      <c r="G22">
        <f t="shared" si="1"/>
        <v>-4.2906999588012695E-3</v>
      </c>
      <c r="I22">
        <f>+G22</f>
        <v>-4.2906999588012695E-3</v>
      </c>
      <c r="O22">
        <f t="shared" ca="1" si="2"/>
        <v>1.4625225299429327E-2</v>
      </c>
      <c r="Q22" s="2">
        <f t="shared" si="3"/>
        <v>36288.373</v>
      </c>
    </row>
    <row r="23" spans="1:21" x14ac:dyDescent="0.2">
      <c r="A23" s="29" t="s">
        <v>42</v>
      </c>
      <c r="B23" s="30" t="s">
        <v>41</v>
      </c>
      <c r="C23" s="29">
        <v>54238.4499</v>
      </c>
      <c r="D23" s="29">
        <v>4.0000000000000002E-4</v>
      </c>
      <c r="E23">
        <f t="shared" si="0"/>
        <v>5786.5082739404734</v>
      </c>
      <c r="F23">
        <f t="shared" si="4"/>
        <v>5786.5</v>
      </c>
      <c r="G23">
        <f t="shared" si="1"/>
        <v>4.2220404429826885E-3</v>
      </c>
      <c r="J23">
        <f>+G23</f>
        <v>4.2220404429826885E-3</v>
      </c>
      <c r="O23">
        <f t="shared" ca="1" si="2"/>
        <v>1.1378638648603126E-2</v>
      </c>
      <c r="Q23" s="2">
        <f t="shared" si="3"/>
        <v>39219.9499</v>
      </c>
    </row>
    <row r="24" spans="1:21" x14ac:dyDescent="0.2">
      <c r="A24" s="33" t="s">
        <v>3</v>
      </c>
      <c r="B24" s="30" t="s">
        <v>40</v>
      </c>
      <c r="C24" s="34">
        <v>54531.607750000003</v>
      </c>
      <c r="D24" s="34">
        <v>1E-4</v>
      </c>
      <c r="E24">
        <f t="shared" si="0"/>
        <v>6361.0102557360888</v>
      </c>
      <c r="F24">
        <f t="shared" si="4"/>
        <v>6361</v>
      </c>
      <c r="G24">
        <f t="shared" si="1"/>
        <v>5.2333144849399105E-3</v>
      </c>
      <c r="K24">
        <f>+G24</f>
        <v>5.2333144849399105E-3</v>
      </c>
      <c r="O24">
        <f t="shared" ca="1" si="2"/>
        <v>1.1053979983520505E-2</v>
      </c>
      <c r="Q24" s="2">
        <f t="shared" si="3"/>
        <v>39513.107750000003</v>
      </c>
    </row>
    <row r="25" spans="1:21" x14ac:dyDescent="0.2">
      <c r="A25" s="33" t="s">
        <v>3</v>
      </c>
      <c r="B25" s="30" t="s">
        <v>41</v>
      </c>
      <c r="C25" s="34">
        <v>54584.421419999999</v>
      </c>
      <c r="D25" s="34">
        <v>2.0000000000000001E-4</v>
      </c>
      <c r="E25">
        <f t="shared" si="0"/>
        <v>6464.5093026860413</v>
      </c>
      <c r="F25">
        <f t="shared" si="4"/>
        <v>6464.5</v>
      </c>
      <c r="G25">
        <f t="shared" si="1"/>
        <v>4.746990482090041E-3</v>
      </c>
      <c r="K25">
        <f>+G25</f>
        <v>4.746990482090041E-3</v>
      </c>
      <c r="O25">
        <f t="shared" ca="1" si="2"/>
        <v>1.0995490563440347E-2</v>
      </c>
      <c r="Q25" s="2">
        <f t="shared" si="3"/>
        <v>39565.921419999999</v>
      </c>
    </row>
    <row r="26" spans="1:21" x14ac:dyDescent="0.2">
      <c r="A26" s="31" t="s">
        <v>47</v>
      </c>
      <c r="B26" s="32" t="s">
        <v>41</v>
      </c>
      <c r="C26" s="31">
        <v>54706.383000000002</v>
      </c>
      <c r="D26" s="31" t="s">
        <v>48</v>
      </c>
      <c r="E26">
        <f t="shared" si="0"/>
        <v>6703.5176369773635</v>
      </c>
      <c r="F26">
        <f t="shared" si="4"/>
        <v>6703.5</v>
      </c>
      <c r="G26">
        <f t="shared" si="1"/>
        <v>8.9998268522322178E-3</v>
      </c>
      <c r="J26">
        <f>+G26</f>
        <v>8.9998268522322178E-3</v>
      </c>
      <c r="O26">
        <f t="shared" ca="1" si="2"/>
        <v>1.0860428037844618E-2</v>
      </c>
      <c r="Q26" s="2">
        <f t="shared" si="3"/>
        <v>39687.883000000002</v>
      </c>
    </row>
    <row r="27" spans="1:21" x14ac:dyDescent="0.2">
      <c r="A27" s="31" t="s">
        <v>49</v>
      </c>
      <c r="B27" s="32" t="s">
        <v>41</v>
      </c>
      <c r="C27" s="31">
        <v>55101.3606</v>
      </c>
      <c r="D27" s="31" t="s">
        <v>48</v>
      </c>
      <c r="E27">
        <f t="shared" si="0"/>
        <v>7477.5559714953461</v>
      </c>
      <c r="F27">
        <f t="shared" si="4"/>
        <v>7477.5</v>
      </c>
      <c r="O27">
        <f t="shared" ca="1" si="2"/>
        <v>1.0423028896375603E-2</v>
      </c>
      <c r="Q27" s="2">
        <f t="shared" si="3"/>
        <v>40082.8606</v>
      </c>
      <c r="U27">
        <f>+C27-(C$7+F27*C$8)</f>
        <v>2.8561229999468196E-2</v>
      </c>
    </row>
    <row r="28" spans="1:21" x14ac:dyDescent="0.2">
      <c r="A28" s="33" t="s">
        <v>46</v>
      </c>
      <c r="B28" s="30" t="s">
        <v>40</v>
      </c>
      <c r="C28" s="29">
        <v>55303.40713</v>
      </c>
      <c r="D28" s="29">
        <v>2.0000000000000001E-4</v>
      </c>
      <c r="E28">
        <f t="shared" si="0"/>
        <v>7873.5069306797104</v>
      </c>
      <c r="F28">
        <f t="shared" si="4"/>
        <v>7873.5</v>
      </c>
      <c r="G28">
        <f t="shared" si="1"/>
        <v>3.536599047947675E-3</v>
      </c>
      <c r="K28">
        <f>+G28</f>
        <v>3.536599047947675E-3</v>
      </c>
      <c r="O28">
        <f t="shared" ca="1" si="2"/>
        <v>1.0199243289112387E-2</v>
      </c>
      <c r="Q28" s="2">
        <f t="shared" si="3"/>
        <v>40284.90713</v>
      </c>
    </row>
    <row r="29" spans="1:21" x14ac:dyDescent="0.2">
      <c r="A29" s="33" t="s">
        <v>46</v>
      </c>
      <c r="B29" s="30" t="s">
        <v>41</v>
      </c>
      <c r="C29" s="29">
        <v>55365.413800000002</v>
      </c>
      <c r="D29" s="29">
        <v>2.9999999999999997E-4</v>
      </c>
      <c r="E29">
        <f t="shared" si="0"/>
        <v>7995.0215167620809</v>
      </c>
      <c r="F29">
        <f t="shared" si="4"/>
        <v>7995</v>
      </c>
      <c r="G29">
        <f t="shared" si="1"/>
        <v>1.0979610007780138E-2</v>
      </c>
      <c r="K29">
        <f>+G29</f>
        <v>1.0979610007780138E-2</v>
      </c>
      <c r="O29">
        <f t="shared" ca="1" si="2"/>
        <v>1.013058179597481E-2</v>
      </c>
      <c r="Q29" s="2">
        <f t="shared" si="3"/>
        <v>40346.913800000002</v>
      </c>
    </row>
    <row r="30" spans="1:21" x14ac:dyDescent="0.2">
      <c r="A30" s="36" t="s">
        <v>51</v>
      </c>
      <c r="B30" s="35" t="s">
        <v>40</v>
      </c>
      <c r="C30" s="29">
        <v>55648.872600000002</v>
      </c>
      <c r="D30" s="29">
        <v>2.9999999999999997E-4</v>
      </c>
      <c r="E30">
        <f t="shared" si="0"/>
        <v>8550.5162523026975</v>
      </c>
      <c r="F30">
        <f t="shared" si="4"/>
        <v>8550.5</v>
      </c>
      <c r="G30">
        <f t="shared" si="1"/>
        <v>8.2932527075172402E-3</v>
      </c>
      <c r="K30">
        <f>+G30</f>
        <v>8.2932527075172402E-3</v>
      </c>
      <c r="O30">
        <f t="shared" ca="1" si="2"/>
        <v>9.8166603191194649E-3</v>
      </c>
      <c r="Q30" s="2">
        <f t="shared" si="3"/>
        <v>40630.372600000002</v>
      </c>
    </row>
    <row r="31" spans="1:21" x14ac:dyDescent="0.2">
      <c r="A31" s="31" t="s">
        <v>50</v>
      </c>
      <c r="B31" s="32" t="s">
        <v>41</v>
      </c>
      <c r="C31" s="31">
        <v>55721.846599999997</v>
      </c>
      <c r="D31" s="31">
        <v>1.2999999999999999E-3</v>
      </c>
      <c r="E31">
        <f t="shared" si="0"/>
        <v>8693.5235353058633</v>
      </c>
      <c r="F31">
        <f t="shared" si="4"/>
        <v>8693.5</v>
      </c>
      <c r="G31">
        <f t="shared" si="1"/>
        <v>1.2009635967842769E-2</v>
      </c>
      <c r="K31">
        <f>+G31</f>
        <v>1.2009635967842769E-2</v>
      </c>
      <c r="O31">
        <f t="shared" ca="1" si="2"/>
        <v>9.7358488498299721E-3</v>
      </c>
      <c r="Q31" s="2">
        <f t="shared" si="3"/>
        <v>40703.346599999997</v>
      </c>
    </row>
    <row r="32" spans="1:21" x14ac:dyDescent="0.2">
      <c r="A32" s="52" t="s">
        <v>121</v>
      </c>
      <c r="B32" s="54" t="s">
        <v>41</v>
      </c>
      <c r="C32" s="53">
        <v>56421.183100000002</v>
      </c>
      <c r="D32" s="53" t="s">
        <v>64</v>
      </c>
      <c r="E32">
        <f t="shared" si="0"/>
        <v>10064.014570057305</v>
      </c>
      <c r="F32">
        <f t="shared" si="4"/>
        <v>10064</v>
      </c>
      <c r="G32">
        <f t="shared" si="1"/>
        <v>7.4348336638649926E-3</v>
      </c>
      <c r="K32">
        <f>+G32</f>
        <v>7.4348336638649926E-3</v>
      </c>
      <c r="O32">
        <f t="shared" ca="1" si="2"/>
        <v>8.9613585095414915E-3</v>
      </c>
      <c r="Q32" s="2">
        <f t="shared" si="3"/>
        <v>41402.683100000002</v>
      </c>
    </row>
    <row r="33" spans="1:17" x14ac:dyDescent="0.2">
      <c r="A33" s="37" t="s">
        <v>52</v>
      </c>
      <c r="B33" s="38"/>
      <c r="C33" s="37">
        <v>56713.576399999998</v>
      </c>
      <c r="D33" s="37">
        <v>2.0000000000000001E-4</v>
      </c>
      <c r="E33">
        <f t="shared" si="0"/>
        <v>10637.018261801381</v>
      </c>
      <c r="F33">
        <f t="shared" si="4"/>
        <v>10637</v>
      </c>
      <c r="G33">
        <f t="shared" si="1"/>
        <v>9.3186631202115677E-3</v>
      </c>
      <c r="J33">
        <f>+G33</f>
        <v>9.3186631202115677E-3</v>
      </c>
      <c r="O33">
        <f t="shared" ca="1" si="2"/>
        <v>8.6375475172136562E-3</v>
      </c>
      <c r="Q33" s="2">
        <f t="shared" si="3"/>
        <v>41695.076399999998</v>
      </c>
    </row>
    <row r="34" spans="1:17" x14ac:dyDescent="0.2">
      <c r="A34" s="29" t="s">
        <v>53</v>
      </c>
      <c r="B34" s="30"/>
      <c r="C34" s="29">
        <v>57127.413200000003</v>
      </c>
      <c r="D34" s="29">
        <v>2.0000000000000001E-4</v>
      </c>
      <c r="E34" s="55">
        <f t="shared" si="0"/>
        <v>11448.015005500913</v>
      </c>
      <c r="F34">
        <f t="shared" si="4"/>
        <v>11448</v>
      </c>
      <c r="G34">
        <f t="shared" si="1"/>
        <v>7.6570325691136532E-3</v>
      </c>
      <c r="J34">
        <f>+G34</f>
        <v>7.6570325691136532E-3</v>
      </c>
      <c r="O34">
        <f t="shared" ca="1" si="2"/>
        <v>8.1792391144599498E-3</v>
      </c>
      <c r="Q34" s="2">
        <f t="shared" si="3"/>
        <v>42108.913200000003</v>
      </c>
    </row>
    <row r="35" spans="1:17" x14ac:dyDescent="0.2">
      <c r="A35" s="56" t="s">
        <v>1</v>
      </c>
      <c r="B35" s="57" t="s">
        <v>41</v>
      </c>
      <c r="C35" s="57">
        <v>57928.5553</v>
      </c>
      <c r="D35" s="57">
        <v>1E-4</v>
      </c>
      <c r="E35" s="55">
        <f t="shared" si="0"/>
        <v>13018.014663193499</v>
      </c>
      <c r="F35">
        <f t="shared" si="4"/>
        <v>13018</v>
      </c>
      <c r="G35">
        <f t="shared" si="1"/>
        <v>7.4823593604378402E-3</v>
      </c>
      <c r="K35">
        <f>+G35</f>
        <v>7.4823593604378402E-3</v>
      </c>
      <c r="O35">
        <f t="shared" ca="1" si="2"/>
        <v>7.2920082977850787E-3</v>
      </c>
      <c r="Q35" s="2">
        <f t="shared" si="3"/>
        <v>42910.0553</v>
      </c>
    </row>
    <row r="36" spans="1:17" x14ac:dyDescent="0.2">
      <c r="A36" s="60" t="s">
        <v>0</v>
      </c>
      <c r="B36" s="61" t="s">
        <v>41</v>
      </c>
      <c r="C36" s="60">
        <v>57531.046600000001</v>
      </c>
      <c r="D36" s="60" t="s">
        <v>119</v>
      </c>
      <c r="E36" s="55">
        <f>+(C36-C$7)/C$8</f>
        <v>12239.016127316001</v>
      </c>
      <c r="F36">
        <f t="shared" si="4"/>
        <v>12239</v>
      </c>
      <c r="G36">
        <f>+C36-(C$7+F36*C$8)</f>
        <v>8.2294742824160494E-3</v>
      </c>
      <c r="K36">
        <f>+G36</f>
        <v>8.2294742824160494E-3</v>
      </c>
      <c r="O36">
        <f ca="1">+C$11+C$12*$F36</f>
        <v>7.7322330151033741E-3</v>
      </c>
      <c r="Q36" s="2">
        <f>+C36-15018.5</f>
        <v>42512.546600000001</v>
      </c>
    </row>
    <row r="37" spans="1:17" x14ac:dyDescent="0.2">
      <c r="A37" s="62" t="s">
        <v>134</v>
      </c>
      <c r="B37" s="63" t="s">
        <v>41</v>
      </c>
      <c r="C37" s="64">
        <v>60053.365699999966</v>
      </c>
      <c r="D37" s="62">
        <v>2.9999999999999997E-4</v>
      </c>
      <c r="E37" s="55">
        <f>+(C37-C$7)/C$8</f>
        <v>17182.009540833318</v>
      </c>
      <c r="F37">
        <f t="shared" ref="F37" si="5">ROUND(2*E37,0)/2</f>
        <v>17182</v>
      </c>
      <c r="G37">
        <f>+C37-(C$7+F37*C$8)</f>
        <v>4.8685126821510494E-3</v>
      </c>
      <c r="K37">
        <f>+G37</f>
        <v>4.8685126821510494E-3</v>
      </c>
      <c r="O37">
        <f ca="1">+C$11+C$12*$F37</f>
        <v>4.9388687305021699E-3</v>
      </c>
      <c r="Q37" s="2">
        <f>+C37-15018.5</f>
        <v>45034.865699999966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phoneticPr fontId="7" type="noConversion"/>
  <hyperlinks>
    <hyperlink ref="H64367" r:id="rId1" display="http://vsolj.cetus-net.org/bulletin.html" xr:uid="{00000000-0004-0000-0100-000000000000}"/>
    <hyperlink ref="H64360" r:id="rId2" display="https://www.aavso.org/ejaavso" xr:uid="{00000000-0004-0000-0100-000001000000}"/>
    <hyperlink ref="AP511" r:id="rId3" display="http://cdsbib.u-strasbg.fr/cgi-bin/cdsbib?1990RMxAA..21..381G" xr:uid="{00000000-0004-0000-0100-000002000000}"/>
    <hyperlink ref="AP515" r:id="rId4" display="http://cdsbib.u-strasbg.fr/cgi-bin/cdsbib?1990RMxAA..21..381G" xr:uid="{00000000-0004-0000-0100-000003000000}"/>
    <hyperlink ref="AP514" r:id="rId5" display="http://cdsbib.u-strasbg.fr/cgi-bin/cdsbib?1990RMxAA..21..381G" xr:uid="{00000000-0004-0000-0100-000004000000}"/>
    <hyperlink ref="AP495" r:id="rId6" display="http://cdsbib.u-strasbg.fr/cgi-bin/cdsbib?1990RMxAA..21..381G" xr:uid="{00000000-0004-0000-0100-000005000000}"/>
    <hyperlink ref="I64367" r:id="rId7" display="http://vsolj.cetus-net.org/bulletin.html" xr:uid="{00000000-0004-0000-0100-000006000000}"/>
    <hyperlink ref="AQ651" r:id="rId8" display="http://cdsbib.u-strasbg.fr/cgi-bin/cdsbib?1990RMxAA..21..381G" xr:uid="{00000000-0004-0000-0100-000007000000}"/>
    <hyperlink ref="AQ55417" r:id="rId9" display="http://cdsbib.u-strasbg.fr/cgi-bin/cdsbib?1990RMxAA..21..381G" xr:uid="{00000000-0004-0000-0100-000008000000}"/>
    <hyperlink ref="AQ652" r:id="rId10" display="http://cdsbib.u-strasbg.fr/cgi-bin/cdsbib?1990RMxAA..21..381G" xr:uid="{00000000-0004-0000-0100-000009000000}"/>
    <hyperlink ref="H64364" r:id="rId11" display="https://www.aavso.org/ejaavso" xr:uid="{00000000-0004-0000-0100-00000A000000}"/>
    <hyperlink ref="H1537" r:id="rId12" display="http://vsolj.cetus-net.org/bulletin.html" xr:uid="{00000000-0004-0000-0100-00000B000000}"/>
    <hyperlink ref="AP2781" r:id="rId13" display="http://cdsbib.u-strasbg.fr/cgi-bin/cdsbib?1990RMxAA..21..381G" xr:uid="{00000000-0004-0000-0100-00000C000000}"/>
    <hyperlink ref="AP2784" r:id="rId14" display="http://cdsbib.u-strasbg.fr/cgi-bin/cdsbib?1990RMxAA..21..381G" xr:uid="{00000000-0004-0000-0100-00000D000000}"/>
    <hyperlink ref="AP2782" r:id="rId15" display="http://cdsbib.u-strasbg.fr/cgi-bin/cdsbib?1990RMxAA..21..381G" xr:uid="{00000000-0004-0000-0100-00000E000000}"/>
    <hyperlink ref="AP2766" r:id="rId16" display="http://cdsbib.u-strasbg.fr/cgi-bin/cdsbib?1990RMxAA..21..381G" xr:uid="{00000000-0004-0000-0100-00000F000000}"/>
    <hyperlink ref="I1537" r:id="rId17" display="http://vsolj.cetus-net.org/bulletin.html" xr:uid="{00000000-0004-0000-0100-000010000000}"/>
    <hyperlink ref="AQ2995" r:id="rId18" display="http://cdsbib.u-strasbg.fr/cgi-bin/cdsbib?1990RMxAA..21..381G" xr:uid="{00000000-0004-0000-0100-000011000000}"/>
    <hyperlink ref="AQ65232" r:id="rId19" display="http://cdsbib.u-strasbg.fr/cgi-bin/cdsbib?1990RMxAA..21..381G" xr:uid="{00000000-0004-0000-0100-000012000000}"/>
    <hyperlink ref="AQ2999" r:id="rId20" display="http://cdsbib.u-strasbg.fr/cgi-bin/cdsbib?1990RMxAA..21..381G" xr:uid="{00000000-0004-0000-0100-000013000000}"/>
    <hyperlink ref="H64152" r:id="rId21" display="http://vsolj.cetus-net.org/bulletin.html" xr:uid="{00000000-0004-0000-0100-000014000000}"/>
    <hyperlink ref="H64145" r:id="rId22" display="https://www.aavso.org/ejaavso" xr:uid="{00000000-0004-0000-0100-000015000000}"/>
    <hyperlink ref="I64152" r:id="rId23" display="http://vsolj.cetus-net.org/bulletin.html" xr:uid="{00000000-0004-0000-0100-000016000000}"/>
    <hyperlink ref="AQ57803" r:id="rId24" display="http://cdsbib.u-strasbg.fr/cgi-bin/cdsbib?1990RMxAA..21..381G" xr:uid="{00000000-0004-0000-0100-000017000000}"/>
    <hyperlink ref="H64149" r:id="rId25" display="https://www.aavso.org/ejaavso" xr:uid="{00000000-0004-0000-0100-000018000000}"/>
    <hyperlink ref="AP5167" r:id="rId26" display="http://cdsbib.u-strasbg.fr/cgi-bin/cdsbib?1990RMxAA..21..381G" xr:uid="{00000000-0004-0000-0100-000019000000}"/>
    <hyperlink ref="AP5170" r:id="rId27" display="http://cdsbib.u-strasbg.fr/cgi-bin/cdsbib?1990RMxAA..21..381G" xr:uid="{00000000-0004-0000-0100-00001A000000}"/>
    <hyperlink ref="AP5168" r:id="rId28" display="http://cdsbib.u-strasbg.fr/cgi-bin/cdsbib?1990RMxAA..21..381G" xr:uid="{00000000-0004-0000-0100-00001B000000}"/>
    <hyperlink ref="AP5152" r:id="rId29" display="http://cdsbib.u-strasbg.fr/cgi-bin/cdsbib?1990RMxAA..21..381G" xr:uid="{00000000-0004-0000-0100-00001C000000}"/>
    <hyperlink ref="AQ5381" r:id="rId30" display="http://cdsbib.u-strasbg.fr/cgi-bin/cdsbib?1990RMxAA..21..381G" xr:uid="{00000000-0004-0000-0100-00001D000000}"/>
    <hyperlink ref="AQ5385" r:id="rId31" display="http://cdsbib.u-strasbg.fr/cgi-bin/cdsbib?1990RMxAA..21..381G" xr:uid="{00000000-0004-0000-0100-00001E000000}"/>
    <hyperlink ref="AQ65065" r:id="rId32" display="http://cdsbib.u-strasbg.fr/cgi-bin/cdsbib?1990RMxAA..21..381G" xr:uid="{00000000-0004-0000-0100-00001F000000}"/>
    <hyperlink ref="I2273" r:id="rId33" display="http://vsolj.cetus-net.org/bulletin.html" xr:uid="{00000000-0004-0000-0100-000020000000}"/>
    <hyperlink ref="H2273" r:id="rId34" display="http://vsolj.cetus-net.org/bulletin.html" xr:uid="{00000000-0004-0000-0100-000021000000}"/>
    <hyperlink ref="AQ190" r:id="rId35" display="http://cdsbib.u-strasbg.fr/cgi-bin/cdsbib?1990RMxAA..21..381G" xr:uid="{00000000-0004-0000-0100-000022000000}"/>
    <hyperlink ref="AQ189" r:id="rId36" display="http://cdsbib.u-strasbg.fr/cgi-bin/cdsbib?1990RMxAA..21..381G" xr:uid="{00000000-0004-0000-0100-000023000000}"/>
    <hyperlink ref="AP3443" r:id="rId37" display="http://cdsbib.u-strasbg.fr/cgi-bin/cdsbib?1990RMxAA..21..381G" xr:uid="{00000000-0004-0000-0100-000024000000}"/>
    <hyperlink ref="AP3461" r:id="rId38" display="http://cdsbib.u-strasbg.fr/cgi-bin/cdsbib?1990RMxAA..21..381G" xr:uid="{00000000-0004-0000-0100-000025000000}"/>
    <hyperlink ref="AP3462" r:id="rId39" display="http://cdsbib.u-strasbg.fr/cgi-bin/cdsbib?1990RMxAA..21..381G" xr:uid="{00000000-0004-0000-0100-000026000000}"/>
    <hyperlink ref="AP3458" r:id="rId40" display="http://cdsbib.u-strasbg.fr/cgi-bin/cdsbib?1990RMxAA..21..381G" xr:uid="{00000000-0004-0000-0100-000027000000}"/>
  </hyperlinks>
  <pageMargins left="0.75" right="0.75" top="1" bottom="1" header="0.5" footer="0.5"/>
  <headerFooter alignWithMargins="0"/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24"/>
  <sheetViews>
    <sheetView workbookViewId="0">
      <selection activeCell="A19" sqref="A19:D2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54</v>
      </c>
      <c r="I1" s="40" t="s">
        <v>55</v>
      </c>
      <c r="J1" s="41" t="s">
        <v>56</v>
      </c>
    </row>
    <row r="2" spans="1:16" x14ac:dyDescent="0.2">
      <c r="I2" s="42" t="s">
        <v>57</v>
      </c>
      <c r="J2" s="43" t="s">
        <v>58</v>
      </c>
    </row>
    <row r="3" spans="1:16" x14ac:dyDescent="0.2">
      <c r="A3" s="44" t="s">
        <v>59</v>
      </c>
      <c r="I3" s="42" t="s">
        <v>60</v>
      </c>
      <c r="J3" s="43" t="s">
        <v>61</v>
      </c>
    </row>
    <row r="4" spans="1:16" x14ac:dyDescent="0.2">
      <c r="I4" s="42" t="s">
        <v>62</v>
      </c>
      <c r="J4" s="43" t="s">
        <v>61</v>
      </c>
    </row>
    <row r="5" spans="1:16" ht="13.5" thickBot="1" x14ac:dyDescent="0.25">
      <c r="I5" s="45" t="s">
        <v>63</v>
      </c>
      <c r="J5" s="46" t="s">
        <v>64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BAVM 201 </v>
      </c>
      <c r="B11" s="3" t="str">
        <f t="shared" ref="B11:B22" si="1">IF(H11=INT(H11),"I","II")</f>
        <v>II</v>
      </c>
      <c r="C11" s="10">
        <f t="shared" ref="C11:C22" si="2">1*G11</f>
        <v>54238.4499</v>
      </c>
      <c r="D11" s="12" t="str">
        <f t="shared" ref="D11:D22" si="3">VLOOKUP(F11,I$1:J$5,2,FALSE)</f>
        <v>vis</v>
      </c>
      <c r="E11" s="47">
        <f>VLOOKUP(C11,'Active 1'!C$21:E$970,3,FALSE)</f>
        <v>5786.8791511595382</v>
      </c>
      <c r="F11" s="3" t="s">
        <v>63</v>
      </c>
      <c r="G11" s="12" t="str">
        <f t="shared" ref="G11:G22" si="4">MID(I11,3,LEN(I11)-3)</f>
        <v>54238.4499</v>
      </c>
      <c r="H11" s="10">
        <f t="shared" ref="H11:H22" si="5">1*K11</f>
        <v>3406.5</v>
      </c>
      <c r="I11" s="48" t="s">
        <v>65</v>
      </c>
      <c r="J11" s="49" t="s">
        <v>66</v>
      </c>
      <c r="K11" s="48">
        <v>3406.5</v>
      </c>
      <c r="L11" s="48" t="s">
        <v>67</v>
      </c>
      <c r="M11" s="49" t="s">
        <v>68</v>
      </c>
      <c r="N11" s="49" t="s">
        <v>69</v>
      </c>
      <c r="O11" s="50" t="s">
        <v>70</v>
      </c>
      <c r="P11" s="51" t="s">
        <v>71</v>
      </c>
    </row>
    <row r="12" spans="1:16" ht="12.75" customHeight="1" thickBot="1" x14ac:dyDescent="0.25">
      <c r="A12" s="10" t="str">
        <f t="shared" si="0"/>
        <v>BAVM 241 (=IBVS 6157) </v>
      </c>
      <c r="B12" s="3" t="str">
        <f t="shared" si="1"/>
        <v>I</v>
      </c>
      <c r="C12" s="10">
        <f t="shared" si="2"/>
        <v>57127.413200000003</v>
      </c>
      <c r="D12" s="12" t="str">
        <f t="shared" si="3"/>
        <v>vis</v>
      </c>
      <c r="E12" s="47">
        <f>VLOOKUP(C12,'Active 1'!C$21:E$970,3,FALSE)</f>
        <v>11448.748748160226</v>
      </c>
      <c r="F12" s="3" t="s">
        <v>63</v>
      </c>
      <c r="G12" s="12" t="str">
        <f t="shared" si="4"/>
        <v>57127.4132</v>
      </c>
      <c r="H12" s="10">
        <f t="shared" si="5"/>
        <v>9068</v>
      </c>
      <c r="I12" s="48" t="s">
        <v>129</v>
      </c>
      <c r="J12" s="49" t="s">
        <v>130</v>
      </c>
      <c r="K12" s="48" t="s">
        <v>131</v>
      </c>
      <c r="L12" s="48" t="s">
        <v>132</v>
      </c>
      <c r="M12" s="49" t="s">
        <v>68</v>
      </c>
      <c r="N12" s="49" t="s">
        <v>126</v>
      </c>
      <c r="O12" s="50" t="s">
        <v>127</v>
      </c>
      <c r="P12" s="51" t="s">
        <v>133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II</v>
      </c>
      <c r="C13" s="10">
        <f t="shared" si="2"/>
        <v>54706.383000000002</v>
      </c>
      <c r="D13" s="12" t="str">
        <f t="shared" si="3"/>
        <v>vis</v>
      </c>
      <c r="E13" s="47">
        <f>VLOOKUP(C13,'Active 1'!C$21:E$970,3,FALSE)</f>
        <v>6703.9472884807328</v>
      </c>
      <c r="F13" s="3" t="s">
        <v>63</v>
      </c>
      <c r="G13" s="12" t="str">
        <f t="shared" si="4"/>
        <v>54706.3830</v>
      </c>
      <c r="H13" s="10">
        <f t="shared" si="5"/>
        <v>4323.5</v>
      </c>
      <c r="I13" s="48" t="s">
        <v>84</v>
      </c>
      <c r="J13" s="49" t="s">
        <v>85</v>
      </c>
      <c r="K13" s="48" t="s">
        <v>86</v>
      </c>
      <c r="L13" s="48" t="s">
        <v>87</v>
      </c>
      <c r="M13" s="49" t="s">
        <v>68</v>
      </c>
      <c r="N13" s="49" t="s">
        <v>69</v>
      </c>
      <c r="O13" s="50" t="s">
        <v>70</v>
      </c>
      <c r="P13" s="51" t="s">
        <v>88</v>
      </c>
    </row>
    <row r="14" spans="1:16" ht="12.75" customHeight="1" thickBot="1" x14ac:dyDescent="0.25">
      <c r="A14" s="10" t="str">
        <f t="shared" si="0"/>
        <v>BAVM 214 </v>
      </c>
      <c r="B14" s="3" t="str">
        <f t="shared" si="1"/>
        <v>II</v>
      </c>
      <c r="C14" s="10">
        <f t="shared" si="2"/>
        <v>55101.3606</v>
      </c>
      <c r="D14" s="12" t="str">
        <f t="shared" si="3"/>
        <v>vis</v>
      </c>
      <c r="E14" s="47">
        <f>VLOOKUP(C14,'Active 1'!C$21:E$970,3,FALSE)</f>
        <v>7478.0352337780259</v>
      </c>
      <c r="F14" s="3" t="s">
        <v>63</v>
      </c>
      <c r="G14" s="12" t="str">
        <f t="shared" si="4"/>
        <v>55101.3606</v>
      </c>
      <c r="H14" s="10">
        <f t="shared" si="5"/>
        <v>5097.5</v>
      </c>
      <c r="I14" s="48" t="s">
        <v>89</v>
      </c>
      <c r="J14" s="49" t="s">
        <v>90</v>
      </c>
      <c r="K14" s="48" t="s">
        <v>91</v>
      </c>
      <c r="L14" s="48" t="s">
        <v>92</v>
      </c>
      <c r="M14" s="49" t="s">
        <v>68</v>
      </c>
      <c r="N14" s="49" t="s">
        <v>69</v>
      </c>
      <c r="O14" s="50" t="s">
        <v>70</v>
      </c>
      <c r="P14" s="51" t="s">
        <v>93</v>
      </c>
    </row>
    <row r="15" spans="1:16" ht="12.75" customHeight="1" thickBot="1" x14ac:dyDescent="0.25">
      <c r="A15" s="10" t="str">
        <f t="shared" si="0"/>
        <v>OEJV 0137 </v>
      </c>
      <c r="B15" s="3" t="str">
        <f t="shared" si="1"/>
        <v>I</v>
      </c>
      <c r="C15" s="10">
        <f t="shared" si="2"/>
        <v>55365.413800000002</v>
      </c>
      <c r="D15" s="12" t="str">
        <f t="shared" si="3"/>
        <v>vis</v>
      </c>
      <c r="E15" s="47">
        <f>VLOOKUP(C15,'Active 1'!C$21:E$970,3,FALSE)</f>
        <v>7995.533945191477</v>
      </c>
      <c r="F15" s="3" t="s">
        <v>63</v>
      </c>
      <c r="G15" s="12" t="str">
        <f t="shared" si="4"/>
        <v>55365.4138</v>
      </c>
      <c r="H15" s="10">
        <f t="shared" si="5"/>
        <v>5615</v>
      </c>
      <c r="I15" s="48" t="s">
        <v>100</v>
      </c>
      <c r="J15" s="49" t="s">
        <v>101</v>
      </c>
      <c r="K15" s="48" t="s">
        <v>102</v>
      </c>
      <c r="L15" s="48" t="s">
        <v>87</v>
      </c>
      <c r="M15" s="49" t="s">
        <v>68</v>
      </c>
      <c r="N15" s="49" t="s">
        <v>55</v>
      </c>
      <c r="O15" s="50" t="s">
        <v>103</v>
      </c>
      <c r="P15" s="51" t="s">
        <v>99</v>
      </c>
    </row>
    <row r="16" spans="1:16" ht="12.75" customHeight="1" thickBot="1" x14ac:dyDescent="0.25">
      <c r="A16" s="10" t="str">
        <f t="shared" si="0"/>
        <v>IBVS 6018 </v>
      </c>
      <c r="B16" s="3" t="str">
        <f t="shared" si="1"/>
        <v>II</v>
      </c>
      <c r="C16" s="10">
        <f t="shared" si="2"/>
        <v>55648.872600000002</v>
      </c>
      <c r="D16" s="12" t="str">
        <f t="shared" si="3"/>
        <v>vis</v>
      </c>
      <c r="E16" s="47">
        <f>VLOOKUP(C16,'Active 1'!C$21:E$970,3,FALSE)</f>
        <v>8551.0642843004225</v>
      </c>
      <c r="F16" s="3" t="s">
        <v>63</v>
      </c>
      <c r="G16" s="12" t="str">
        <f t="shared" si="4"/>
        <v>55648.8726</v>
      </c>
      <c r="H16" s="10">
        <f t="shared" si="5"/>
        <v>6170.5</v>
      </c>
      <c r="I16" s="48" t="s">
        <v>104</v>
      </c>
      <c r="J16" s="49" t="s">
        <v>105</v>
      </c>
      <c r="K16" s="48" t="s">
        <v>106</v>
      </c>
      <c r="L16" s="48" t="s">
        <v>107</v>
      </c>
      <c r="M16" s="49" t="s">
        <v>68</v>
      </c>
      <c r="N16" s="49" t="s">
        <v>55</v>
      </c>
      <c r="O16" s="50" t="s">
        <v>108</v>
      </c>
      <c r="P16" s="51" t="s">
        <v>109</v>
      </c>
    </row>
    <row r="17" spans="1:16" ht="12.75" customHeight="1" thickBot="1" x14ac:dyDescent="0.25">
      <c r="A17" s="10" t="str">
        <f t="shared" si="0"/>
        <v>IBVS 5992 </v>
      </c>
      <c r="B17" s="3" t="str">
        <f t="shared" si="1"/>
        <v>II</v>
      </c>
      <c r="C17" s="10">
        <f t="shared" si="2"/>
        <v>55721.846599999997</v>
      </c>
      <c r="D17" s="12" t="str">
        <f t="shared" si="3"/>
        <v>vis</v>
      </c>
      <c r="E17" s="47">
        <f>VLOOKUP(C17,'Active 1'!C$21:E$970,3,FALSE)</f>
        <v>8694.0807331322576</v>
      </c>
      <c r="F17" s="3" t="s">
        <v>63</v>
      </c>
      <c r="G17" s="12" t="str">
        <f t="shared" si="4"/>
        <v>55721.8466</v>
      </c>
      <c r="H17" s="10">
        <f t="shared" si="5"/>
        <v>6313.5</v>
      </c>
      <c r="I17" s="48" t="s">
        <v>110</v>
      </c>
      <c r="J17" s="49" t="s">
        <v>111</v>
      </c>
      <c r="K17" s="48" t="s">
        <v>112</v>
      </c>
      <c r="L17" s="48" t="s">
        <v>87</v>
      </c>
      <c r="M17" s="49" t="s">
        <v>68</v>
      </c>
      <c r="N17" s="49" t="s">
        <v>63</v>
      </c>
      <c r="O17" s="50" t="s">
        <v>113</v>
      </c>
      <c r="P17" s="51" t="s">
        <v>114</v>
      </c>
    </row>
    <row r="18" spans="1:16" ht="12.75" customHeight="1" thickBot="1" x14ac:dyDescent="0.25">
      <c r="A18" s="10" t="str">
        <f t="shared" si="0"/>
        <v>BAVM 239 </v>
      </c>
      <c r="B18" s="3" t="str">
        <f t="shared" si="1"/>
        <v>I</v>
      </c>
      <c r="C18" s="10">
        <f t="shared" si="2"/>
        <v>56713.576399999998</v>
      </c>
      <c r="D18" s="12" t="str">
        <f t="shared" si="3"/>
        <v>vis</v>
      </c>
      <c r="E18" s="47">
        <f>VLOOKUP(C18,'Active 1'!C$21:E$970,3,FALSE)</f>
        <v>10637.700024889813</v>
      </c>
      <c r="F18" s="3" t="s">
        <v>63</v>
      </c>
      <c r="G18" s="12" t="str">
        <f t="shared" si="4"/>
        <v>56713.5764</v>
      </c>
      <c r="H18" s="10">
        <f t="shared" si="5"/>
        <v>8257</v>
      </c>
      <c r="I18" s="48" t="s">
        <v>122</v>
      </c>
      <c r="J18" s="49" t="s">
        <v>123</v>
      </c>
      <c r="K18" s="48" t="s">
        <v>124</v>
      </c>
      <c r="L18" s="48" t="s">
        <v>125</v>
      </c>
      <c r="M18" s="49" t="s">
        <v>68</v>
      </c>
      <c r="N18" s="49" t="s">
        <v>126</v>
      </c>
      <c r="O18" s="50" t="s">
        <v>127</v>
      </c>
      <c r="P18" s="51" t="s">
        <v>128</v>
      </c>
    </row>
    <row r="19" spans="1:16" ht="12.75" customHeight="1" thickBot="1" x14ac:dyDescent="0.25">
      <c r="A19" s="10" t="str">
        <f t="shared" si="0"/>
        <v>OEJV 094 </v>
      </c>
      <c r="B19" s="3" t="str">
        <f t="shared" si="1"/>
        <v>I</v>
      </c>
      <c r="C19" s="10">
        <f t="shared" si="2"/>
        <v>54531.607799999998</v>
      </c>
      <c r="D19" s="12" t="str">
        <f t="shared" si="3"/>
        <v>vis</v>
      </c>
      <c r="E19" s="47" t="e">
        <f>VLOOKUP(C19,'Active 1'!C$21:E$970,3,FALSE)</f>
        <v>#N/A</v>
      </c>
      <c r="F19" s="3" t="s">
        <v>63</v>
      </c>
      <c r="G19" s="12" t="str">
        <f t="shared" si="4"/>
        <v>54531.6078</v>
      </c>
      <c r="H19" s="10">
        <f t="shared" si="5"/>
        <v>3981</v>
      </c>
      <c r="I19" s="48" t="s">
        <v>72</v>
      </c>
      <c r="J19" s="49" t="s">
        <v>73</v>
      </c>
      <c r="K19" s="48" t="s">
        <v>74</v>
      </c>
      <c r="L19" s="48" t="s">
        <v>75</v>
      </c>
      <c r="M19" s="49" t="s">
        <v>68</v>
      </c>
      <c r="N19" s="49" t="s">
        <v>76</v>
      </c>
      <c r="O19" s="50" t="s">
        <v>77</v>
      </c>
      <c r="P19" s="51" t="s">
        <v>78</v>
      </c>
    </row>
    <row r="20" spans="1:16" ht="12.75" customHeight="1" thickBot="1" x14ac:dyDescent="0.25">
      <c r="A20" s="10" t="str">
        <f t="shared" si="0"/>
        <v>OEJV 094 </v>
      </c>
      <c r="B20" s="3" t="str">
        <f t="shared" si="1"/>
        <v>II</v>
      </c>
      <c r="C20" s="10">
        <f t="shared" si="2"/>
        <v>54584.421399999999</v>
      </c>
      <c r="D20" s="12" t="str">
        <f t="shared" si="3"/>
        <v>vis</v>
      </c>
      <c r="E20" s="47" t="e">
        <f>VLOOKUP(C20,'Active 1'!C$21:E$970,3,FALSE)</f>
        <v>#N/A</v>
      </c>
      <c r="F20" s="3" t="s">
        <v>63</v>
      </c>
      <c r="G20" s="12" t="str">
        <f t="shared" si="4"/>
        <v>54584.4214</v>
      </c>
      <c r="H20" s="10">
        <f t="shared" si="5"/>
        <v>4084.5</v>
      </c>
      <c r="I20" s="48" t="s">
        <v>79</v>
      </c>
      <c r="J20" s="49" t="s">
        <v>80</v>
      </c>
      <c r="K20" s="48" t="s">
        <v>81</v>
      </c>
      <c r="L20" s="48" t="s">
        <v>82</v>
      </c>
      <c r="M20" s="49" t="s">
        <v>68</v>
      </c>
      <c r="N20" s="49" t="s">
        <v>76</v>
      </c>
      <c r="O20" s="50" t="s">
        <v>83</v>
      </c>
      <c r="P20" s="51" t="s">
        <v>78</v>
      </c>
    </row>
    <row r="21" spans="1:16" ht="12.75" customHeight="1" thickBot="1" x14ac:dyDescent="0.25">
      <c r="A21" s="10" t="str">
        <f t="shared" si="0"/>
        <v>OEJV 0137 </v>
      </c>
      <c r="B21" s="3" t="str">
        <f t="shared" si="1"/>
        <v>II</v>
      </c>
      <c r="C21" s="10">
        <f t="shared" si="2"/>
        <v>55303.407099999997</v>
      </c>
      <c r="D21" s="12" t="str">
        <f t="shared" si="3"/>
        <v>vis</v>
      </c>
      <c r="E21" s="47" t="e">
        <f>VLOOKUP(C21,'Active 1'!C$21:E$970,3,FALSE)</f>
        <v>#N/A</v>
      </c>
      <c r="F21" s="3" t="s">
        <v>63</v>
      </c>
      <c r="G21" s="12" t="str">
        <f t="shared" si="4"/>
        <v>55303.4071</v>
      </c>
      <c r="H21" s="10">
        <f t="shared" si="5"/>
        <v>5493.5</v>
      </c>
      <c r="I21" s="48" t="s">
        <v>94</v>
      </c>
      <c r="J21" s="49" t="s">
        <v>95</v>
      </c>
      <c r="K21" s="48" t="s">
        <v>96</v>
      </c>
      <c r="L21" s="48" t="s">
        <v>97</v>
      </c>
      <c r="M21" s="49" t="s">
        <v>68</v>
      </c>
      <c r="N21" s="49" t="s">
        <v>55</v>
      </c>
      <c r="O21" s="50" t="s">
        <v>98</v>
      </c>
      <c r="P21" s="51" t="s">
        <v>99</v>
      </c>
    </row>
    <row r="22" spans="1:16" ht="12.75" customHeight="1" thickBot="1" x14ac:dyDescent="0.25">
      <c r="A22" s="10" t="str">
        <f t="shared" si="0"/>
        <v>VSB 56 </v>
      </c>
      <c r="B22" s="3" t="str">
        <f t="shared" si="1"/>
        <v>I</v>
      </c>
      <c r="C22" s="10">
        <f t="shared" si="2"/>
        <v>56421.183100000002</v>
      </c>
      <c r="D22" s="12" t="str">
        <f t="shared" si="3"/>
        <v>vis</v>
      </c>
      <c r="E22" s="47">
        <f>VLOOKUP(C22,'Active 1'!C$21:E$970,3,FALSE)</f>
        <v>10064.659607368179</v>
      </c>
      <c r="F22" s="3" t="s">
        <v>63</v>
      </c>
      <c r="G22" s="12" t="str">
        <f t="shared" si="4"/>
        <v>56421.1831</v>
      </c>
      <c r="H22" s="10">
        <f t="shared" si="5"/>
        <v>7684</v>
      </c>
      <c r="I22" s="48" t="s">
        <v>115</v>
      </c>
      <c r="J22" s="49" t="s">
        <v>116</v>
      </c>
      <c r="K22" s="48" t="s">
        <v>117</v>
      </c>
      <c r="L22" s="48" t="s">
        <v>118</v>
      </c>
      <c r="M22" s="49" t="s">
        <v>68</v>
      </c>
      <c r="N22" s="49" t="s">
        <v>119</v>
      </c>
      <c r="O22" s="50" t="s">
        <v>120</v>
      </c>
      <c r="P22" s="51" t="s">
        <v>121</v>
      </c>
    </row>
    <row r="23" spans="1:16" x14ac:dyDescent="0.2">
      <c r="B23" s="3"/>
      <c r="E23" s="47"/>
      <c r="F23" s="3"/>
    </row>
    <row r="24" spans="1:16" x14ac:dyDescent="0.2">
      <c r="B24" s="3"/>
      <c r="E24" s="47"/>
      <c r="F24" s="3"/>
    </row>
    <row r="25" spans="1:16" x14ac:dyDescent="0.2">
      <c r="B25" s="3"/>
      <c r="E25" s="47"/>
      <c r="F25" s="3"/>
    </row>
    <row r="26" spans="1:16" x14ac:dyDescent="0.2">
      <c r="B26" s="3"/>
      <c r="E26" s="47"/>
      <c r="F26" s="3"/>
    </row>
    <row r="27" spans="1:16" x14ac:dyDescent="0.2">
      <c r="B27" s="3"/>
      <c r="E27" s="47"/>
      <c r="F27" s="3"/>
    </row>
    <row r="28" spans="1:16" x14ac:dyDescent="0.2">
      <c r="B28" s="3"/>
      <c r="E28" s="47"/>
      <c r="F28" s="3"/>
    </row>
    <row r="29" spans="1:16" x14ac:dyDescent="0.2">
      <c r="B29" s="3"/>
      <c r="E29" s="47"/>
      <c r="F29" s="3"/>
    </row>
    <row r="30" spans="1:16" x14ac:dyDescent="0.2">
      <c r="B30" s="3"/>
      <c r="E30" s="47"/>
      <c r="F30" s="3"/>
    </row>
    <row r="31" spans="1:16" x14ac:dyDescent="0.2">
      <c r="B31" s="3"/>
      <c r="E31" s="47"/>
      <c r="F31" s="3"/>
    </row>
    <row r="32" spans="1:16" x14ac:dyDescent="0.2">
      <c r="B32" s="3"/>
      <c r="E32" s="47"/>
      <c r="F32" s="3"/>
    </row>
    <row r="33" spans="2:6" x14ac:dyDescent="0.2">
      <c r="B33" s="3"/>
      <c r="E33" s="47"/>
      <c r="F33" s="3"/>
    </row>
    <row r="34" spans="2:6" x14ac:dyDescent="0.2">
      <c r="B34" s="3"/>
      <c r="E34" s="47"/>
      <c r="F34" s="3"/>
    </row>
    <row r="35" spans="2:6" x14ac:dyDescent="0.2">
      <c r="B35" s="3"/>
      <c r="E35" s="47"/>
      <c r="F35" s="3"/>
    </row>
    <row r="36" spans="2:6" x14ac:dyDescent="0.2">
      <c r="B36" s="3"/>
      <c r="E36" s="47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</sheetData>
  <phoneticPr fontId="7" type="noConversion"/>
  <hyperlinks>
    <hyperlink ref="P11" r:id="rId1" display="http://www.bav-astro.de/sfs/BAVM_link.php?BAVMnr=201" xr:uid="{00000000-0004-0000-0200-000000000000}"/>
    <hyperlink ref="P19" r:id="rId2" display="http://var.astro.cz/oejv/issues/oejv094.pdf" xr:uid="{00000000-0004-0000-0200-000001000000}"/>
    <hyperlink ref="P20" r:id="rId3" display="http://var.astro.cz/oejv/issues/oejv094.pdf" xr:uid="{00000000-0004-0000-0200-000002000000}"/>
    <hyperlink ref="P13" r:id="rId4" display="http://www.bav-astro.de/sfs/BAVM_link.php?BAVMnr=209" xr:uid="{00000000-0004-0000-0200-000003000000}"/>
    <hyperlink ref="P14" r:id="rId5" display="http://www.bav-astro.de/sfs/BAVM_link.php?BAVMnr=214" xr:uid="{00000000-0004-0000-0200-000004000000}"/>
    <hyperlink ref="P21" r:id="rId6" display="http://var.astro.cz/oejv/issues/oejv0137.pdf" xr:uid="{00000000-0004-0000-0200-000005000000}"/>
    <hyperlink ref="P15" r:id="rId7" display="http://var.astro.cz/oejv/issues/oejv0137.pdf" xr:uid="{00000000-0004-0000-0200-000006000000}"/>
    <hyperlink ref="P16" r:id="rId8" display="http://www.konkoly.hu/cgi-bin/IBVS?6018" xr:uid="{00000000-0004-0000-0200-000007000000}"/>
    <hyperlink ref="P17" r:id="rId9" display="http://www.konkoly.hu/cgi-bin/IBVS?5992" xr:uid="{00000000-0004-0000-0200-000008000000}"/>
    <hyperlink ref="P22" r:id="rId10" display="http://vsolj.cetus-net.org/vsoljno56.pdf" xr:uid="{00000000-0004-0000-0200-000009000000}"/>
    <hyperlink ref="P18" r:id="rId11" display="http://www.bav-astro.de/sfs/BAVM_link.php?BAVMnr=239" xr:uid="{00000000-0004-0000-0200-00000A000000}"/>
    <hyperlink ref="P12" r:id="rId12" display="http://www.bav-astro.de/sfs/BAVM_link.php?BAVMnr=241" xr:uid="{00000000-0004-0000-02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2025-01-05T06:05:41Z</dcterms:modified>
</cp:coreProperties>
</file>